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Лилит\Desktop\Новая папка\"/>
    </mc:Choice>
  </mc:AlternateContent>
  <bookViews>
    <workbookView xWindow="0" yWindow="0" windowWidth="23040" windowHeight="9192" firstSheet="3" activeTab="5"/>
  </bookViews>
  <sheets>
    <sheet name="Исходные данные" sheetId="1" r:id="rId1"/>
    <sheet name="Оценка капитальных затрат " sheetId="2" r:id="rId2"/>
    <sheet name="Оценка эксплуатационных затрат" sheetId="3" r:id="rId3"/>
    <sheet name="Кредит" sheetId="5" r:id="rId4"/>
    <sheet name="Расчет годовой выручки" sheetId="6" r:id="rId5"/>
    <sheet name="Результирующий расчет" sheetId="7" r:id="rId6"/>
    <sheet name="Анализ чувствительности" sheetId="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9" l="1"/>
  <c r="E9" i="9" s="1"/>
  <c r="B2" i="9"/>
  <c r="B3" i="9"/>
  <c r="C3" i="9"/>
  <c r="B4" i="9"/>
  <c r="C4" i="9"/>
  <c r="C5" i="9" s="1"/>
  <c r="C6" i="9" s="1"/>
  <c r="C7" i="9" s="1"/>
  <c r="C8" i="9" s="1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B5" i="9"/>
  <c r="B6" i="9"/>
  <c r="E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E22" i="9"/>
  <c r="B23" i="9"/>
  <c r="B24" i="9"/>
  <c r="E24" i="9"/>
  <c r="E25" i="9" s="1"/>
  <c r="E26" i="9" s="1"/>
  <c r="E27" i="9" s="1"/>
  <c r="E28" i="9" s="1"/>
  <c r="E29" i="9" s="1"/>
  <c r="E30" i="9" s="1"/>
  <c r="E31" i="9" s="1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E10" i="9" l="1"/>
  <c r="E11" i="9" s="1"/>
  <c r="E12" i="9" s="1"/>
  <c r="E13" i="9" s="1"/>
  <c r="E14" i="9" s="1"/>
  <c r="E15" i="9" s="1"/>
  <c r="E16" i="9" s="1"/>
  <c r="E17" i="9" s="1"/>
  <c r="F22" i="9"/>
  <c r="F6" i="9"/>
  <c r="T14" i="7"/>
  <c r="I14" i="7"/>
  <c r="D15" i="7"/>
  <c r="F8" i="6"/>
  <c r="H14" i="7"/>
  <c r="G14" i="7"/>
  <c r="F14" i="7"/>
  <c r="H11" i="7"/>
  <c r="G11" i="7"/>
  <c r="F11" i="7"/>
  <c r="J14" i="7"/>
  <c r="K14" i="7" s="1"/>
  <c r="L14" i="7" s="1"/>
  <c r="M14" i="7" s="1"/>
  <c r="N14" i="7" s="1"/>
  <c r="O14" i="7" s="1"/>
  <c r="P14" i="7" s="1"/>
  <c r="Q14" i="7" s="1"/>
  <c r="R14" i="7" s="1"/>
  <c r="S14" i="7" s="1"/>
  <c r="U14" i="7" s="1"/>
  <c r="V14" i="7" s="1"/>
  <c r="W14" i="7" s="1"/>
  <c r="X14" i="7" s="1"/>
  <c r="Y14" i="7" s="1"/>
  <c r="Z14" i="7" s="1"/>
  <c r="AA14" i="7" s="1"/>
  <c r="AB14" i="7" s="1"/>
  <c r="AC14" i="7" s="1"/>
  <c r="AD14" i="7" s="1"/>
  <c r="AE14" i="7" s="1"/>
  <c r="AF14" i="7" s="1"/>
  <c r="E14" i="7"/>
  <c r="E12" i="7"/>
  <c r="E13" i="7"/>
  <c r="D22" i="7"/>
  <c r="G12" i="7"/>
  <c r="H12" i="7"/>
  <c r="I12" i="7"/>
  <c r="J12" i="7"/>
  <c r="K12" i="7"/>
  <c r="L12" i="7"/>
  <c r="M12" i="7"/>
  <c r="N12" i="7"/>
  <c r="O12" i="7"/>
  <c r="P12" i="7"/>
  <c r="Q12" i="7"/>
  <c r="R12" i="7"/>
  <c r="S12" i="7"/>
  <c r="T12" i="7"/>
  <c r="U12" i="7"/>
  <c r="V12" i="7"/>
  <c r="W12" i="7"/>
  <c r="X12" i="7"/>
  <c r="Y12" i="7"/>
  <c r="Z12" i="7"/>
  <c r="AA12" i="7"/>
  <c r="AB12" i="7"/>
  <c r="AC12" i="7"/>
  <c r="AD12" i="7"/>
  <c r="AE12" i="7"/>
  <c r="AF12" i="7"/>
  <c r="F12" i="7"/>
  <c r="D21" i="7"/>
  <c r="I11" i="7"/>
  <c r="J11" i="7" s="1"/>
  <c r="K11" i="7" s="1"/>
  <c r="L11" i="7" s="1"/>
  <c r="M11" i="7" s="1"/>
  <c r="N11" i="7" s="1"/>
  <c r="O11" i="7" s="1"/>
  <c r="P11" i="7" s="1"/>
  <c r="Q11" i="7" s="1"/>
  <c r="R11" i="7" s="1"/>
  <c r="S11" i="7" s="1"/>
  <c r="T11" i="7" s="1"/>
  <c r="U11" i="7" s="1"/>
  <c r="V11" i="7" s="1"/>
  <c r="W11" i="7" s="1"/>
  <c r="X11" i="7" s="1"/>
  <c r="Y11" i="7" s="1"/>
  <c r="Z11" i="7" s="1"/>
  <c r="AA11" i="7" s="1"/>
  <c r="AB11" i="7" s="1"/>
  <c r="AC11" i="7" s="1"/>
  <c r="AD11" i="7" s="1"/>
  <c r="AE11" i="7" s="1"/>
  <c r="AF11" i="7" s="1"/>
  <c r="E11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E10" i="7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E9" i="7"/>
  <c r="E7" i="7"/>
  <c r="E8" i="7" s="1"/>
  <c r="H17" i="6"/>
  <c r="G17" i="6"/>
  <c r="E4" i="7"/>
  <c r="C13" i="6"/>
  <c r="C15" i="6"/>
  <c r="G8" i="6"/>
  <c r="H8" i="6"/>
  <c r="I8" i="6"/>
  <c r="J8" i="6"/>
  <c r="J17" i="6" s="1"/>
  <c r="L4" i="7" s="1"/>
  <c r="K8" i="6"/>
  <c r="L8" i="6"/>
  <c r="M8" i="6"/>
  <c r="N8" i="6"/>
  <c r="N17" i="6" s="1"/>
  <c r="P4" i="7" s="1"/>
  <c r="O8" i="6"/>
  <c r="P8" i="6"/>
  <c r="Q8" i="6"/>
  <c r="R8" i="6"/>
  <c r="R17" i="6" s="1"/>
  <c r="T4" i="7" s="1"/>
  <c r="S8" i="6"/>
  <c r="T8" i="6"/>
  <c r="U8" i="6"/>
  <c r="V8" i="6"/>
  <c r="V17" i="6" s="1"/>
  <c r="X4" i="7" s="1"/>
  <c r="W8" i="6"/>
  <c r="X8" i="6"/>
  <c r="Y8" i="6"/>
  <c r="Z8" i="6"/>
  <c r="Z17" i="6" s="1"/>
  <c r="AB4" i="7" s="1"/>
  <c r="AA8" i="6"/>
  <c r="AB8" i="6"/>
  <c r="AC8" i="6"/>
  <c r="AD8" i="6"/>
  <c r="AD17" i="6" s="1"/>
  <c r="AF4" i="7" s="1"/>
  <c r="F8" i="7"/>
  <c r="G8" i="7"/>
  <c r="H8" i="7"/>
  <c r="I8" i="7"/>
  <c r="J8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G5" i="7"/>
  <c r="F5" i="7"/>
  <c r="E5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F6" i="7"/>
  <c r="G6" i="7"/>
  <c r="H6" i="7"/>
  <c r="I6" i="7"/>
  <c r="J6" i="7"/>
  <c r="K6" i="7"/>
  <c r="L6" i="7"/>
  <c r="M6" i="7"/>
  <c r="N6" i="7"/>
  <c r="O6" i="7"/>
  <c r="P6" i="7"/>
  <c r="Q6" i="7"/>
  <c r="R6" i="7"/>
  <c r="S6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E6" i="7"/>
  <c r="H5" i="7"/>
  <c r="I5" i="7"/>
  <c r="J5" i="7"/>
  <c r="K5" i="7"/>
  <c r="L5" i="7"/>
  <c r="M5" i="7"/>
  <c r="N5" i="7"/>
  <c r="O5" i="7"/>
  <c r="P5" i="7"/>
  <c r="Q5" i="7"/>
  <c r="R5" i="7"/>
  <c r="S5" i="7"/>
  <c r="T5" i="7"/>
  <c r="U5" i="7"/>
  <c r="V5" i="7"/>
  <c r="W5" i="7"/>
  <c r="X5" i="7"/>
  <c r="Y5" i="7"/>
  <c r="Z5" i="7"/>
  <c r="AA5" i="7"/>
  <c r="AB5" i="7"/>
  <c r="AC5" i="7"/>
  <c r="AD5" i="7"/>
  <c r="AE5" i="7"/>
  <c r="AF5" i="7"/>
  <c r="F4" i="7"/>
  <c r="G4" i="7"/>
  <c r="D4" i="6"/>
  <c r="D17" i="6"/>
  <c r="E17" i="6"/>
  <c r="C11" i="6"/>
  <c r="D13" i="6"/>
  <c r="E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AA13" i="6"/>
  <c r="AB13" i="6"/>
  <c r="AC13" i="6"/>
  <c r="AD13" i="6"/>
  <c r="C17" i="6"/>
  <c r="I16" i="6"/>
  <c r="H16" i="6"/>
  <c r="G16" i="6"/>
  <c r="F16" i="6"/>
  <c r="E16" i="6"/>
  <c r="D16" i="6"/>
  <c r="C16" i="6"/>
  <c r="I15" i="6"/>
  <c r="H15" i="6"/>
  <c r="G15" i="6"/>
  <c r="F15" i="6"/>
  <c r="E15" i="6"/>
  <c r="D15" i="6"/>
  <c r="C7" i="5"/>
  <c r="C6" i="5"/>
  <c r="C2" i="5"/>
  <c r="C4" i="5" s="1"/>
  <c r="I23" i="6"/>
  <c r="D11" i="6"/>
  <c r="E11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Y11" i="6"/>
  <c r="Z11" i="6"/>
  <c r="AA11" i="6"/>
  <c r="AB11" i="6"/>
  <c r="AC11" i="6"/>
  <c r="AD11" i="6"/>
  <c r="D8" i="6"/>
  <c r="E8" i="6"/>
  <c r="I4" i="7"/>
  <c r="J4" i="7"/>
  <c r="I17" i="6"/>
  <c r="K4" i="7" s="1"/>
  <c r="K17" i="6"/>
  <c r="M4" i="7" s="1"/>
  <c r="L17" i="6"/>
  <c r="N4" i="7" s="1"/>
  <c r="M17" i="6"/>
  <c r="O4" i="7" s="1"/>
  <c r="O17" i="6"/>
  <c r="Q4" i="7" s="1"/>
  <c r="P17" i="6"/>
  <c r="R4" i="7" s="1"/>
  <c r="Q17" i="6"/>
  <c r="S4" i="7" s="1"/>
  <c r="S17" i="6"/>
  <c r="U4" i="7" s="1"/>
  <c r="T17" i="6"/>
  <c r="V4" i="7" s="1"/>
  <c r="U17" i="6"/>
  <c r="W4" i="7" s="1"/>
  <c r="W17" i="6"/>
  <c r="Y4" i="7" s="1"/>
  <c r="X17" i="6"/>
  <c r="Z4" i="7" s="1"/>
  <c r="Y17" i="6"/>
  <c r="AA4" i="7" s="1"/>
  <c r="AA17" i="6"/>
  <c r="AC4" i="7" s="1"/>
  <c r="AB17" i="6"/>
  <c r="AD4" i="7" s="1"/>
  <c r="AC17" i="6"/>
  <c r="AE4" i="7" s="1"/>
  <c r="C8" i="6"/>
  <c r="D12" i="7" l="1"/>
  <c r="C8" i="5"/>
  <c r="C9" i="5" s="1"/>
  <c r="D6" i="5"/>
  <c r="D7" i="5" l="1"/>
  <c r="D8" i="5" s="1"/>
  <c r="D9" i="5" s="1"/>
  <c r="E6" i="5"/>
  <c r="E7" i="5" l="1"/>
  <c r="E8" i="5" s="1"/>
  <c r="F6" i="5" s="1"/>
  <c r="F7" i="5" l="1"/>
  <c r="F8" i="5" s="1"/>
  <c r="F9" i="5" s="1"/>
  <c r="E9" i="5"/>
  <c r="G6" i="5" l="1"/>
  <c r="G7" i="5" l="1"/>
  <c r="G8" i="5" s="1"/>
  <c r="G9" i="5" s="1"/>
  <c r="H6" i="5"/>
  <c r="H7" i="5" l="1"/>
  <c r="H8" i="5" s="1"/>
  <c r="H9" i="5" s="1"/>
  <c r="I6" i="5" l="1"/>
  <c r="I7" i="5" s="1"/>
  <c r="I8" i="5" s="1"/>
  <c r="D9" i="3" l="1"/>
  <c r="D5" i="3"/>
  <c r="D4" i="3"/>
  <c r="D16" i="2"/>
  <c r="D15" i="2"/>
  <c r="D14" i="2"/>
  <c r="D5" i="7" l="1"/>
  <c r="D6" i="7"/>
  <c r="D7" i="7"/>
  <c r="D8" i="7"/>
  <c r="D9" i="7"/>
  <c r="D10" i="7"/>
  <c r="D11" i="7"/>
  <c r="D14" i="7"/>
  <c r="D10" i="2"/>
  <c r="D10" i="3"/>
  <c r="D13" i="3"/>
  <c r="D12" i="3"/>
  <c r="D11" i="3"/>
  <c r="D8" i="3"/>
  <c r="D7" i="3"/>
  <c r="D6" i="3"/>
  <c r="D3" i="3"/>
  <c r="D6" i="2"/>
  <c r="D9" i="2"/>
  <c r="D8" i="2"/>
  <c r="D7" i="2"/>
  <c r="D5" i="2"/>
  <c r="D4" i="2"/>
  <c r="D3" i="2" s="1"/>
  <c r="D2" i="3" l="1"/>
  <c r="D14" i="3" s="1"/>
  <c r="F17" i="6"/>
  <c r="H4" i="7"/>
  <c r="D4" i="7" s="1"/>
</calcChain>
</file>

<file path=xl/sharedStrings.xml><?xml version="1.0" encoding="utf-8"?>
<sst xmlns="http://schemas.openxmlformats.org/spreadsheetml/2006/main" count="197" uniqueCount="117">
  <si>
    <t>№ п/п</t>
  </si>
  <si>
    <t>Наименование</t>
  </si>
  <si>
    <t>Ед. измерения</t>
  </si>
  <si>
    <t>Значение</t>
  </si>
  <si>
    <t>Исходные данные для оценки капитальных затрат</t>
  </si>
  <si>
    <t>1.1</t>
  </si>
  <si>
    <t>Состав флота</t>
  </si>
  <si>
    <t>Танкер №1</t>
  </si>
  <si>
    <t>количество</t>
  </si>
  <si>
    <t>ед.</t>
  </si>
  <si>
    <t>грузоподъёмность</t>
  </si>
  <si>
    <t>тыс. тонн</t>
  </si>
  <si>
    <t>стоимость</t>
  </si>
  <si>
    <t>млн. руб.</t>
  </si>
  <si>
    <t>Танкер №2</t>
  </si>
  <si>
    <t>1.2</t>
  </si>
  <si>
    <t>Объекты инфраструктуры</t>
  </si>
  <si>
    <t>Нефтяное хранилище</t>
  </si>
  <si>
    <t>Подводный трубопровод</t>
  </si>
  <si>
    <t>Отгрузочный терминал</t>
  </si>
  <si>
    <t>Исходные данные для оценки эксплуатационных расходов</t>
  </si>
  <si>
    <t>2.1</t>
  </si>
  <si>
    <t>Флот</t>
  </si>
  <si>
    <t>Норматив затрат на ремонт и содержание</t>
  </si>
  <si>
    <t>% от стоимости танкера в год</t>
  </si>
  <si>
    <t>Средняя заработная плата 1 члена экипажа</t>
  </si>
  <si>
    <t>Численность экипажа танкера №1</t>
  </si>
  <si>
    <t>чел.</t>
  </si>
  <si>
    <t>Численность экипажа танкера №2</t>
  </si>
  <si>
    <t>Затраты на топливо для танкера №1</t>
  </si>
  <si>
    <t>млн. руб./год. для 1 танкера</t>
  </si>
  <si>
    <t>Затраты на топливо для танкера №2</t>
  </si>
  <si>
    <t>Норматив затрат на страхование</t>
  </si>
  <si>
    <t>Норматив затрат на администрирование</t>
  </si>
  <si>
    <t>% от всех эксплуатационных затрат в год</t>
  </si>
  <si>
    <t>2.2.</t>
  </si>
  <si>
    <t xml:space="preserve">Норматив затрат на содержание нефтяного хранилища </t>
  </si>
  <si>
    <t>% от стоимости объекта в год</t>
  </si>
  <si>
    <t>Норматив затрат на содержание подводного трубопровода</t>
  </si>
  <si>
    <t>Норматив затрат содержание отгрузочного терминала</t>
  </si>
  <si>
    <t>Исходные данные для оценки доходов</t>
  </si>
  <si>
    <t>3.1</t>
  </si>
  <si>
    <t>Объем добычи нефти</t>
  </si>
  <si>
    <t>3.2</t>
  </si>
  <si>
    <t>Стоимость нефти</t>
  </si>
  <si>
    <t>Прочие исходные данные</t>
  </si>
  <si>
    <t>4.1</t>
  </si>
  <si>
    <t xml:space="preserve">Срок реализации проекта </t>
  </si>
  <si>
    <t>лет</t>
  </si>
  <si>
    <t>в том числе, строительство судов и инфраструктуры</t>
  </si>
  <si>
    <t>4.2</t>
  </si>
  <si>
    <t>Распределение капитальных затрат:</t>
  </si>
  <si>
    <t>Первый год</t>
  </si>
  <si>
    <t>%</t>
  </si>
  <si>
    <t>Второй год</t>
  </si>
  <si>
    <t>Третий год</t>
  </si>
  <si>
    <t>4.3</t>
  </si>
  <si>
    <t>Ставка дисконтирования</t>
  </si>
  <si>
    <t>Наименование затрат</t>
  </si>
  <si>
    <t>Сумма, млн. руб.</t>
  </si>
  <si>
    <t>Состав флота всего, в т. ч.:</t>
  </si>
  <si>
    <t>2.</t>
  </si>
  <si>
    <t>Флот всего, в т. ч.:</t>
  </si>
  <si>
    <t>Объекты инфраструктуры всего, в т. ч.:</t>
  </si>
  <si>
    <t>Заработная плата членов экипажа танкера №1</t>
  </si>
  <si>
    <t>Заработная плата членов экипажа танкера №2</t>
  </si>
  <si>
    <t>млн. руб./мес.</t>
  </si>
  <si>
    <t>ИТОГО капитальныхх затрат</t>
  </si>
  <si>
    <t>ИТОГО</t>
  </si>
  <si>
    <t>Процентная ставка, %</t>
  </si>
  <si>
    <t>Сумма кредита, млн. руб.</t>
  </si>
  <si>
    <t xml:space="preserve"> т/год</t>
  </si>
  <si>
    <t>Порядковый номер года</t>
  </si>
  <si>
    <t>Выручка, млрд. руб.</t>
  </si>
  <si>
    <t>Капитальные затраты, млрд. руб.</t>
  </si>
  <si>
    <t>Выплаты с учетом кредита, млрд. руб.</t>
  </si>
  <si>
    <t>Выплата процентов за кредит, млрд. руб.</t>
  </si>
  <si>
    <t>ВСЕГО капитальные затраты с учетом кредита, млрд. руб.</t>
  </si>
  <si>
    <t>Эксплуатационные затраты, млрд. руб.</t>
  </si>
  <si>
    <t>Чистый доход, млрд. руб.</t>
  </si>
  <si>
    <t>Накопленный чистый доход, млрд. руб.</t>
  </si>
  <si>
    <t>Чистый дисконтированный доход NPV, млрд.руб.</t>
  </si>
  <si>
    <t>IRR, %</t>
  </si>
  <si>
    <t>Накопленный чистый дисконтированный доход, млрд. руб.</t>
  </si>
  <si>
    <t>Простой срок окупаемости, лет.</t>
  </si>
  <si>
    <t>Дисконтированный срок окупаемости, лет.</t>
  </si>
  <si>
    <t>Распределение капитальных затрат по годам</t>
  </si>
  <si>
    <t>ИТОГО эксплуатационных затрат в год</t>
  </si>
  <si>
    <t>млн. руб./тонна</t>
  </si>
  <si>
    <t>Денежные потоки:</t>
  </si>
  <si>
    <t>Денежный поток от операционной деятельности</t>
  </si>
  <si>
    <t>Денежный поток от инвестиционной  деятельности</t>
  </si>
  <si>
    <t>Эксплуатационные затраты</t>
  </si>
  <si>
    <t>Выручка</t>
  </si>
  <si>
    <t>Строительство судов и инфраструктуры</t>
  </si>
  <si>
    <t>Денежный поток от финансовой деятельности</t>
  </si>
  <si>
    <t>Получение кредита</t>
  </si>
  <si>
    <t>Погашение процентов</t>
  </si>
  <si>
    <t>Погашение основного долга</t>
  </si>
  <si>
    <t>Количество периодов, лет</t>
  </si>
  <si>
    <t>Сумма ежегодного платежа</t>
  </si>
  <si>
    <t>Задолженность на начало</t>
  </si>
  <si>
    <t>Платеж по процентам</t>
  </si>
  <si>
    <t>Тело кредита</t>
  </si>
  <si>
    <t>Задолженность на конец</t>
  </si>
  <si>
    <t xml:space="preserve">Совокупный денежный поток </t>
  </si>
  <si>
    <t>Ежегодный доход по проекту =</t>
  </si>
  <si>
    <t>NPV, млрд.руб.</t>
  </si>
  <si>
    <t>Доходы (притоки)</t>
  </si>
  <si>
    <t>Внутренняя норма доходности</t>
  </si>
  <si>
    <t>Инвестиции (отток)</t>
  </si>
  <si>
    <t>Рост доходов</t>
  </si>
  <si>
    <t>Разовый приток</t>
  </si>
  <si>
    <t>Рост инвестиций</t>
  </si>
  <si>
    <t>Разовый отток</t>
  </si>
  <si>
    <t>Дата</t>
  </si>
  <si>
    <t>Сумма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</si>
</sst>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\ _₽_-;\-* #,##0.00\ _₽_-;_-* &quot;-&quot;??\ _₽_-;_-@_-"/>
    <numFmt numFmtId="164" formatCode="#,##0_ ;[Red]\-#,##0\ "/>
    <numFmt numFmtId="165" formatCode="#,##0.00_ ;[Red]\-#,##0.00\ "/>
    <numFmt numFmtId="166" formatCode="0.0"/>
    <numFmt numFmtId="167" formatCode="#,##0&quot;р.&quot;;[Red]\-#,##0&quot;р.&quot;"/>
    <numFmt numFmtId="168" formatCode="0.0%"/>
    <numFmt numFmtId="169" formatCode="#,##0&quot;р.&quot;;\-#,##0&quot;р.&quot;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</cellStyleXfs>
  <cellXfs count="83">
    <xf numFmtId="0" fontId="0" fillId="0" borderId="0" xfId="0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/>
    <xf numFmtId="0" fontId="5" fillId="0" borderId="3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 wrapText="1"/>
    </xf>
    <xf numFmtId="0" fontId="2" fillId="0" borderId="0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justify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left" vertical="center"/>
    </xf>
    <xf numFmtId="0" fontId="0" fillId="0" borderId="11" xfId="0" applyBorder="1"/>
    <xf numFmtId="0" fontId="12" fillId="0" borderId="5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justify" vertical="center" wrapText="1"/>
    </xf>
    <xf numFmtId="0" fontId="4" fillId="2" borderId="0" xfId="0" applyFont="1" applyFill="1"/>
    <xf numFmtId="0" fontId="13" fillId="0" borderId="11" xfId="1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13" fillId="0" borderId="11" xfId="1" applyNumberFormat="1" applyFont="1" applyBorder="1" applyAlignment="1">
      <alignment horizontal="center" vertical="center"/>
    </xf>
    <xf numFmtId="164" fontId="13" fillId="0" borderId="11" xfId="0" applyNumberFormat="1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164" fontId="13" fillId="0" borderId="11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11" xfId="0" applyFont="1" applyFill="1" applyBorder="1" applyAlignment="1">
      <alignment horizontal="center"/>
    </xf>
    <xf numFmtId="9" fontId="4" fillId="3" borderId="11" xfId="0" applyNumberFormat="1" applyFont="1" applyFill="1" applyBorder="1" applyAlignment="1">
      <alignment horizontal="center"/>
    </xf>
    <xf numFmtId="0" fontId="0" fillId="3" borderId="0" xfId="0" applyFill="1" applyBorder="1"/>
    <xf numFmtId="0" fontId="4" fillId="3" borderId="11" xfId="0" applyFont="1" applyFill="1" applyBorder="1" applyAlignment="1">
      <alignment horizontal="left" wrapText="1"/>
    </xf>
    <xf numFmtId="0" fontId="4" fillId="3" borderId="12" xfId="0" applyFont="1" applyFill="1" applyBorder="1" applyAlignment="1">
      <alignment horizontal="left" wrapText="1"/>
    </xf>
    <xf numFmtId="2" fontId="4" fillId="3" borderId="12" xfId="0" applyNumberFormat="1" applyFont="1" applyFill="1" applyBorder="1" applyAlignment="1">
      <alignment horizontal="center"/>
    </xf>
    <xf numFmtId="2" fontId="0" fillId="0" borderId="0" xfId="0" applyNumberFormat="1"/>
    <xf numFmtId="2" fontId="0" fillId="3" borderId="11" xfId="0" applyNumberFormat="1" applyFill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0" fillId="2" borderId="11" xfId="0" applyFill="1" applyBorder="1" applyAlignment="1">
      <alignment horizontal="left"/>
    </xf>
    <xf numFmtId="1" fontId="0" fillId="2" borderId="11" xfId="0" applyNumberFormat="1" applyFill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2" fontId="6" fillId="0" borderId="11" xfId="0" applyNumberFormat="1" applyFont="1" applyBorder="1" applyAlignment="1">
      <alignment vertical="center"/>
    </xf>
    <xf numFmtId="9" fontId="6" fillId="0" borderId="11" xfId="0" applyNumberFormat="1" applyFont="1" applyBorder="1"/>
    <xf numFmtId="0" fontId="6" fillId="0" borderId="11" xfId="0" applyFont="1" applyBorder="1" applyAlignment="1">
      <alignment horizontal="right"/>
    </xf>
    <xf numFmtId="165" fontId="6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vertical="center"/>
    </xf>
    <xf numFmtId="0" fontId="6" fillId="0" borderId="11" xfId="0" applyFont="1" applyBorder="1" applyAlignment="1">
      <alignment horizontal="right" vertical="center"/>
    </xf>
    <xf numFmtId="165" fontId="6" fillId="0" borderId="11" xfId="0" applyNumberFormat="1" applyFont="1" applyBorder="1"/>
    <xf numFmtId="166" fontId="12" fillId="0" borderId="5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" fillId="0" borderId="0" xfId="2" applyFont="1" applyBorder="1"/>
    <xf numFmtId="15" fontId="1" fillId="0" borderId="0" xfId="2" applyNumberFormat="1" applyFont="1" applyBorder="1" applyAlignment="1">
      <alignment horizontal="right"/>
    </xf>
    <xf numFmtId="167" fontId="1" fillId="0" borderId="0" xfId="2" applyNumberFormat="1" applyFont="1" applyBorder="1" applyAlignment="1">
      <alignment horizontal="right"/>
    </xf>
    <xf numFmtId="9" fontId="1" fillId="0" borderId="0" xfId="2" applyNumberFormat="1" applyFont="1" applyBorder="1"/>
    <xf numFmtId="168" fontId="1" fillId="0" borderId="0" xfId="2" applyNumberFormat="1" applyFont="1" applyBorder="1"/>
    <xf numFmtId="168" fontId="1" fillId="2" borderId="0" xfId="2" applyNumberFormat="1" applyFont="1" applyFill="1" applyBorder="1" applyAlignment="1">
      <alignment horizontal="right"/>
    </xf>
    <xf numFmtId="168" fontId="1" fillId="0" borderId="0" xfId="3" applyNumberFormat="1" applyFont="1" applyBorder="1"/>
    <xf numFmtId="169" fontId="1" fillId="0" borderId="0" xfId="2" applyNumberFormat="1" applyFont="1" applyBorder="1" applyAlignment="1">
      <alignment horizontal="right"/>
    </xf>
    <xf numFmtId="9" fontId="1" fillId="0" borderId="0" xfId="2" applyNumberFormat="1" applyFont="1" applyBorder="1" applyAlignment="1">
      <alignment horizontal="right"/>
    </xf>
    <xf numFmtId="0" fontId="1" fillId="0" borderId="0" xfId="2" applyFont="1" applyBorder="1" applyAlignment="1">
      <alignment horizontal="center"/>
    </xf>
  </cellXfs>
  <cellStyles count="4">
    <cellStyle name="Обычный" xfId="0" builtinId="0"/>
    <cellStyle name="Обычный 2" xfId="2"/>
    <cellStyle name="Процентный 2" xfId="3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 sz="1200"/>
              <a:t>Внутренняя норма доходности проекта при отклонении инвестиций от стандартного</a:t>
            </a:r>
            <a:r>
              <a:rPr lang="ru-RU" sz="1200" baseline="0"/>
              <a:t> объема 1 млн. руб. в месяц</a:t>
            </a:r>
            <a:endParaRPr lang="ru-RU" sz="1200"/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circle"/>
            <c:size val="6"/>
            <c:spPr>
              <a:ln>
                <a:solidFill>
                  <a:schemeClr val="tx1"/>
                </a:solidFill>
              </a:ln>
            </c:spPr>
          </c:marker>
          <c:cat>
            <c:numRef>
              <c:f>'Анализ чувствительности'!$E$7:$E$17</c:f>
              <c:numCache>
                <c:formatCode>0%</c:formatCode>
                <c:ptCount val="11"/>
                <c:pt idx="0">
                  <c:v>-0.2</c:v>
                </c:pt>
                <c:pt idx="1">
                  <c:v>-0.1</c:v>
                </c:pt>
                <c:pt idx="2">
                  <c:v>-0.05</c:v>
                </c:pt>
                <c:pt idx="3">
                  <c:v>-3.0000000000000002E-2</c:v>
                </c:pt>
                <c:pt idx="4">
                  <c:v>-1.0000000000000002E-2</c:v>
                </c:pt>
                <c:pt idx="5">
                  <c:v>9.9999999999999985E-3</c:v>
                </c:pt>
                <c:pt idx="6">
                  <c:v>0.03</c:v>
                </c:pt>
                <c:pt idx="7">
                  <c:v>0.05</c:v>
                </c:pt>
                <c:pt idx="8">
                  <c:v>7.0000000000000007E-2</c:v>
                </c:pt>
                <c:pt idx="9">
                  <c:v>9.0000000000000011E-2</c:v>
                </c:pt>
                <c:pt idx="10">
                  <c:v>0.11000000000000001</c:v>
                </c:pt>
              </c:numCache>
            </c:numRef>
          </c:cat>
          <c:val>
            <c:numRef>
              <c:f>'Анализ чувствительности'!$F$7:$F$17</c:f>
              <c:numCache>
                <c:formatCode>0.0%</c:formatCode>
                <c:ptCount val="11"/>
                <c:pt idx="0">
                  <c:v>0.36843951344490056</c:v>
                </c:pt>
                <c:pt idx="1">
                  <c:v>0.25542986989021288</c:v>
                </c:pt>
                <c:pt idx="2">
                  <c:v>0.2077758491039276</c:v>
                </c:pt>
                <c:pt idx="3">
                  <c:v>0.19006595015525815</c:v>
                </c:pt>
                <c:pt idx="4">
                  <c:v>0.17305591702461245</c:v>
                </c:pt>
                <c:pt idx="5">
                  <c:v>0.15670289397239689</c:v>
                </c:pt>
                <c:pt idx="6">
                  <c:v>0.14096751809120181</c:v>
                </c:pt>
                <c:pt idx="7">
                  <c:v>0.12581356167793276</c:v>
                </c:pt>
                <c:pt idx="8">
                  <c:v>0.11120763421058655</c:v>
                </c:pt>
                <c:pt idx="9">
                  <c:v>9.7118884325027466E-2</c:v>
                </c:pt>
                <c:pt idx="10">
                  <c:v>8.3518782258033761E-2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8A-4EE0-AD17-410FAADE7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688896"/>
        <c:axId val="113038080"/>
      </c:lineChart>
      <c:catAx>
        <c:axId val="110688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ru-RU"/>
                  <a:t>Доля снижения "-" или роста "+" инвестиций по сравнению </a:t>
                </a:r>
                <a:br>
                  <a:rPr lang="ru-RU"/>
                </a:br>
                <a:r>
                  <a:rPr lang="ru-RU"/>
                  <a:t>с плановыми 1 млн. руб. в месяц</a:t>
                </a:r>
              </a:p>
            </c:rich>
          </c:tx>
          <c:layout/>
          <c:overlay val="0"/>
        </c:title>
        <c:numFmt formatCode="0%" sourceLinked="1"/>
        <c:majorTickMark val="out"/>
        <c:minorTickMark val="none"/>
        <c:tickLblPos val="nextTo"/>
        <c:crossAx val="113038080"/>
        <c:crosses val="autoZero"/>
        <c:auto val="1"/>
        <c:lblAlgn val="ctr"/>
        <c:lblOffset val="100"/>
        <c:noMultiLvlLbl val="0"/>
      </c:catAx>
      <c:valAx>
        <c:axId val="1130380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ru-RU"/>
                  <a:t>Внутренняя норма доходности</a:t>
                </a:r>
              </a:p>
            </c:rich>
          </c:tx>
          <c:layout>
            <c:manualLayout>
              <c:xMode val="edge"/>
              <c:yMode val="edge"/>
              <c:x val="2.3809523809523808E-2"/>
              <c:y val="0.1777894429862934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crossAx val="1106888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ru-RU" sz="1200" b="1" i="0" baseline="0">
                <a:latin typeface="+mn-lt"/>
              </a:rPr>
              <a:t>Внутренняя норма доходности проекта при отклонении доходов от стандартного объема 250 тыс. руб. в месяц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3386351706036745"/>
          <c:y val="0.2023440466168144"/>
          <c:w val="0.81156714785651796"/>
          <c:h val="0.76797999306690434"/>
        </c:manualLayout>
      </c:layout>
      <c:lineChart>
        <c:grouping val="standard"/>
        <c:varyColors val="0"/>
        <c:ser>
          <c:idx val="1"/>
          <c:order val="0"/>
          <c:marker>
            <c:symbol val="circle"/>
            <c:size val="6"/>
            <c:spPr>
              <a:ln>
                <a:solidFill>
                  <a:sysClr val="windowText" lastClr="000000"/>
                </a:solidFill>
              </a:ln>
            </c:spPr>
          </c:marker>
          <c:cat>
            <c:numRef>
              <c:f>'Анализ чувствительности'!$E$23:$E$31</c:f>
              <c:numCache>
                <c:formatCode>0%</c:formatCode>
                <c:ptCount val="9"/>
                <c:pt idx="0">
                  <c:v>-0.4</c:v>
                </c:pt>
                <c:pt idx="1">
                  <c:v>-0.30000000000000004</c:v>
                </c:pt>
                <c:pt idx="2">
                  <c:v>-0.20000000000000004</c:v>
                </c:pt>
                <c:pt idx="3">
                  <c:v>-0.10000000000000003</c:v>
                </c:pt>
                <c:pt idx="4">
                  <c:v>0</c:v>
                </c:pt>
                <c:pt idx="5">
                  <c:v>0.1</c:v>
                </c:pt>
                <c:pt idx="6">
                  <c:v>0.2</c:v>
                </c:pt>
                <c:pt idx="7">
                  <c:v>0.30000000000000004</c:v>
                </c:pt>
                <c:pt idx="8">
                  <c:v>0.4</c:v>
                </c:pt>
              </c:numCache>
            </c:numRef>
          </c:cat>
          <c:val>
            <c:numRef>
              <c:f>'Анализ чувствительности'!$F$23:$F$31</c:f>
              <c:numCache>
                <c:formatCode>0.0%</c:formatCode>
                <c:ptCount val="9"/>
                <c:pt idx="0">
                  <c:v>-0.16965652890503405</c:v>
                </c:pt>
                <c:pt idx="1">
                  <c:v>-8.395028263330459E-2</c:v>
                </c:pt>
                <c:pt idx="2">
                  <c:v>-1.4901161193847657E-9</c:v>
                </c:pt>
                <c:pt idx="3">
                  <c:v>8.2777002453804052E-2</c:v>
                </c:pt>
                <c:pt idx="4">
                  <c:v>0.16479981541633604</c:v>
                </c:pt>
                <c:pt idx="5">
                  <c:v>0.24638145565986638</c:v>
                </c:pt>
                <c:pt idx="6">
                  <c:v>0.32776289582252505</c:v>
                </c:pt>
                <c:pt idx="7">
                  <c:v>0.40913421511650094</c:v>
                </c:pt>
                <c:pt idx="8">
                  <c:v>0.49064849019050594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26-4409-93C3-F936F17649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550720"/>
        <c:axId val="119552256"/>
      </c:lineChart>
      <c:catAx>
        <c:axId val="11955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ru-RU" sz="1000" b="1" i="0" baseline="0"/>
                  <a:t>Доля снижения "-" или роста "+" доходов по сравнению </a:t>
                </a:r>
                <a:br>
                  <a:rPr lang="ru-RU" sz="1000" b="1" i="0" baseline="0"/>
                </a:br>
                <a:r>
                  <a:rPr lang="ru-RU" sz="1000" b="1" i="0" baseline="0"/>
                  <a:t>с плановыми 250 000 руб. в месяц</a:t>
                </a:r>
                <a:endParaRPr lang="ru-RU" sz="1000"/>
              </a:p>
            </c:rich>
          </c:tx>
          <c:layout>
            <c:manualLayout>
              <c:xMode val="edge"/>
              <c:yMode val="edge"/>
              <c:x val="0.22514005085301839"/>
              <c:y val="0.82418494857954072"/>
            </c:manualLayout>
          </c:layout>
          <c:overlay val="0"/>
        </c:title>
        <c:numFmt formatCode="0%" sourceLinked="1"/>
        <c:majorTickMark val="out"/>
        <c:minorTickMark val="none"/>
        <c:tickLblPos val="nextTo"/>
        <c:crossAx val="119552256"/>
        <c:crosses val="autoZero"/>
        <c:auto val="1"/>
        <c:lblAlgn val="ctr"/>
        <c:lblOffset val="100"/>
        <c:noMultiLvlLbl val="0"/>
      </c:catAx>
      <c:valAx>
        <c:axId val="1195522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ru-RU"/>
                  <a:t>Внутренняя</a:t>
                </a:r>
                <a:r>
                  <a:rPr lang="ru-RU" baseline="0"/>
                  <a:t> норма доходности</a:t>
                </a:r>
                <a:endParaRPr lang="ru-RU"/>
              </a:p>
            </c:rich>
          </c:tx>
          <c:layout>
            <c:manualLayout>
              <c:xMode val="edge"/>
              <c:yMode val="edge"/>
              <c:x val="1.1908218503937008E-2"/>
              <c:y val="0.26095676719655325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crossAx val="1195507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171450</xdr:colOff>
      <xdr:row>2</xdr:row>
      <xdr:rowOff>123825</xdr:rowOff>
    </xdr:from>
    <xdr:to>
      <xdr:col>14</xdr:col>
      <xdr:colOff>95250</xdr:colOff>
      <xdr:row>17</xdr:row>
      <xdr:rowOff>9525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209550</xdr:colOff>
      <xdr:row>19</xdr:row>
      <xdr:rowOff>180975</xdr:rowOff>
    </xdr:from>
    <xdr:to>
      <xdr:col>14</xdr:col>
      <xdr:colOff>209550</xdr:colOff>
      <xdr:row>35</xdr:row>
      <xdr:rowOff>161925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1"/>
  <sheetViews>
    <sheetView zoomScale="80" zoomScaleNormal="80" workbookViewId="0">
      <selection activeCell="D28" sqref="D28"/>
    </sheetView>
  </sheetViews>
  <sheetFormatPr defaultRowHeight="14.4" x14ac:dyDescent="0.3"/>
  <cols>
    <col min="1" max="1" width="8.88671875" customWidth="1"/>
    <col min="2" max="2" width="4.33203125" customWidth="1"/>
    <col min="3" max="3" width="33.21875" customWidth="1"/>
    <col min="4" max="4" width="38.33203125" customWidth="1"/>
    <col min="5" max="5" width="11.21875" customWidth="1"/>
  </cols>
  <sheetData>
    <row r="1" spans="2:5" ht="15" thickBot="1" x14ac:dyDescent="0.35"/>
    <row r="2" spans="2:5" s="4" customFormat="1" ht="13.2" customHeight="1" thickBot="1" x14ac:dyDescent="0.3">
      <c r="B2" s="2" t="s">
        <v>0</v>
      </c>
      <c r="C2" s="3" t="s">
        <v>1</v>
      </c>
      <c r="D2" s="3" t="s">
        <v>2</v>
      </c>
      <c r="E2" s="3" t="s">
        <v>3</v>
      </c>
    </row>
    <row r="3" spans="2:5" s="4" customFormat="1" ht="13.2" customHeight="1" thickBot="1" x14ac:dyDescent="0.3">
      <c r="B3" s="5">
        <v>1</v>
      </c>
      <c r="C3" s="62" t="s">
        <v>4</v>
      </c>
      <c r="D3" s="63"/>
      <c r="E3" s="64"/>
    </row>
    <row r="4" spans="2:5" s="4" customFormat="1" ht="13.2" customHeight="1" thickBot="1" x14ac:dyDescent="0.3">
      <c r="B4" s="5" t="s">
        <v>5</v>
      </c>
      <c r="C4" s="6" t="s">
        <v>6</v>
      </c>
      <c r="D4" s="7"/>
      <c r="E4" s="7"/>
    </row>
    <row r="5" spans="2:5" s="4" customFormat="1" ht="13.2" customHeight="1" thickBot="1" x14ac:dyDescent="0.3">
      <c r="B5" s="8"/>
      <c r="C5" s="9" t="s">
        <v>7</v>
      </c>
      <c r="D5" s="7"/>
      <c r="E5" s="7"/>
    </row>
    <row r="6" spans="2:5" s="4" customFormat="1" ht="13.2" customHeight="1" thickBot="1" x14ac:dyDescent="0.3">
      <c r="B6" s="8"/>
      <c r="C6" s="9" t="s">
        <v>8</v>
      </c>
      <c r="D6" s="7" t="s">
        <v>9</v>
      </c>
      <c r="E6" s="7">
        <v>14</v>
      </c>
    </row>
    <row r="7" spans="2:5" s="4" customFormat="1" ht="13.2" customHeight="1" thickBot="1" x14ac:dyDescent="0.3">
      <c r="B7" s="8"/>
      <c r="C7" s="9" t="s">
        <v>10</v>
      </c>
      <c r="D7" s="7" t="s">
        <v>11</v>
      </c>
      <c r="E7" s="7">
        <v>35</v>
      </c>
    </row>
    <row r="8" spans="2:5" s="4" customFormat="1" ht="13.2" customHeight="1" thickBot="1" x14ac:dyDescent="0.3">
      <c r="B8" s="8"/>
      <c r="C8" s="9" t="s">
        <v>12</v>
      </c>
      <c r="D8" s="7" t="s">
        <v>13</v>
      </c>
      <c r="E8" s="7">
        <v>3600</v>
      </c>
    </row>
    <row r="9" spans="2:5" s="4" customFormat="1" ht="13.2" customHeight="1" thickBot="1" x14ac:dyDescent="0.3">
      <c r="B9" s="8"/>
      <c r="C9" s="9" t="s">
        <v>14</v>
      </c>
      <c r="D9" s="7"/>
      <c r="E9" s="7"/>
    </row>
    <row r="10" spans="2:5" s="4" customFormat="1" ht="13.2" customHeight="1" thickBot="1" x14ac:dyDescent="0.3">
      <c r="B10" s="8"/>
      <c r="C10" s="9" t="s">
        <v>8</v>
      </c>
      <c r="D10" s="7" t="s">
        <v>9</v>
      </c>
      <c r="E10" s="7">
        <v>7</v>
      </c>
    </row>
    <row r="11" spans="2:5" s="4" customFormat="1" ht="13.2" customHeight="1" thickBot="1" x14ac:dyDescent="0.3">
      <c r="B11" s="8"/>
      <c r="C11" s="9" t="s">
        <v>10</v>
      </c>
      <c r="D11" s="7" t="s">
        <v>11</v>
      </c>
      <c r="E11" s="7">
        <v>70</v>
      </c>
    </row>
    <row r="12" spans="2:5" s="4" customFormat="1" ht="13.2" customHeight="1" thickBot="1" x14ac:dyDescent="0.3">
      <c r="B12" s="8"/>
      <c r="C12" s="9" t="s">
        <v>12</v>
      </c>
      <c r="D12" s="7" t="s">
        <v>13</v>
      </c>
      <c r="E12" s="7">
        <v>8000</v>
      </c>
    </row>
    <row r="13" spans="2:5" s="4" customFormat="1" ht="13.2" customHeight="1" thickBot="1" x14ac:dyDescent="0.3">
      <c r="B13" s="5" t="s">
        <v>15</v>
      </c>
      <c r="C13" s="6" t="s">
        <v>16</v>
      </c>
      <c r="D13" s="7"/>
      <c r="E13" s="7"/>
    </row>
    <row r="14" spans="2:5" s="4" customFormat="1" ht="13.2" customHeight="1" thickBot="1" x14ac:dyDescent="0.3">
      <c r="B14" s="8"/>
      <c r="C14" s="9" t="s">
        <v>17</v>
      </c>
      <c r="D14" s="7" t="s">
        <v>13</v>
      </c>
      <c r="E14" s="7">
        <v>7000</v>
      </c>
    </row>
    <row r="15" spans="2:5" s="4" customFormat="1" ht="13.2" customHeight="1" thickBot="1" x14ac:dyDescent="0.3">
      <c r="B15" s="8"/>
      <c r="C15" s="9" t="s">
        <v>18</v>
      </c>
      <c r="D15" s="7" t="s">
        <v>13</v>
      </c>
      <c r="E15" s="7">
        <v>300</v>
      </c>
    </row>
    <row r="16" spans="2:5" s="4" customFormat="1" ht="13.2" customHeight="1" thickBot="1" x14ac:dyDescent="0.3">
      <c r="B16" s="8"/>
      <c r="C16" s="9" t="s">
        <v>19</v>
      </c>
      <c r="D16" s="7" t="s">
        <v>13</v>
      </c>
      <c r="E16" s="7">
        <v>3500</v>
      </c>
    </row>
    <row r="17" spans="2:5" s="4" customFormat="1" ht="13.2" customHeight="1" thickBot="1" x14ac:dyDescent="0.3">
      <c r="B17" s="5">
        <v>2</v>
      </c>
      <c r="C17" s="65" t="s">
        <v>20</v>
      </c>
      <c r="D17" s="66"/>
      <c r="E17" s="67"/>
    </row>
    <row r="18" spans="2:5" s="4" customFormat="1" ht="13.2" customHeight="1" thickBot="1" x14ac:dyDescent="0.3">
      <c r="B18" s="5" t="s">
        <v>21</v>
      </c>
      <c r="C18" s="6" t="s">
        <v>22</v>
      </c>
      <c r="D18" s="7"/>
      <c r="E18" s="7"/>
    </row>
    <row r="19" spans="2:5" s="4" customFormat="1" ht="13.2" customHeight="1" thickBot="1" x14ac:dyDescent="0.3">
      <c r="B19" s="8"/>
      <c r="C19" s="9" t="s">
        <v>23</v>
      </c>
      <c r="D19" s="7" t="s">
        <v>24</v>
      </c>
      <c r="E19" s="7">
        <v>2</v>
      </c>
    </row>
    <row r="20" spans="2:5" s="4" customFormat="1" ht="13.2" customHeight="1" thickBot="1" x14ac:dyDescent="0.3">
      <c r="B20" s="8"/>
      <c r="C20" s="9" t="s">
        <v>25</v>
      </c>
      <c r="D20" s="7" t="s">
        <v>66</v>
      </c>
      <c r="E20" s="7">
        <v>0.18</v>
      </c>
    </row>
    <row r="21" spans="2:5" s="4" customFormat="1" ht="13.2" customHeight="1" thickBot="1" x14ac:dyDescent="0.3">
      <c r="B21" s="8"/>
      <c r="C21" s="9" t="s">
        <v>26</v>
      </c>
      <c r="D21" s="7" t="s">
        <v>27</v>
      </c>
      <c r="E21" s="7">
        <v>25</v>
      </c>
    </row>
    <row r="22" spans="2:5" s="4" customFormat="1" ht="13.2" customHeight="1" thickBot="1" x14ac:dyDescent="0.3">
      <c r="B22" s="8"/>
      <c r="C22" s="9" t="s">
        <v>28</v>
      </c>
      <c r="D22" s="7" t="s">
        <v>27</v>
      </c>
      <c r="E22" s="7">
        <v>35</v>
      </c>
    </row>
    <row r="23" spans="2:5" s="4" customFormat="1" ht="13.2" customHeight="1" thickBot="1" x14ac:dyDescent="0.3">
      <c r="B23" s="8"/>
      <c r="C23" s="9" t="s">
        <v>29</v>
      </c>
      <c r="D23" s="7" t="s">
        <v>30</v>
      </c>
      <c r="E23" s="7">
        <v>400</v>
      </c>
    </row>
    <row r="24" spans="2:5" s="4" customFormat="1" ht="13.2" customHeight="1" thickBot="1" x14ac:dyDescent="0.3">
      <c r="B24" s="8"/>
      <c r="C24" s="9" t="s">
        <v>31</v>
      </c>
      <c r="D24" s="7" t="s">
        <v>30</v>
      </c>
      <c r="E24" s="7">
        <v>750</v>
      </c>
    </row>
    <row r="25" spans="2:5" s="4" customFormat="1" ht="13.2" customHeight="1" thickBot="1" x14ac:dyDescent="0.3">
      <c r="B25" s="8"/>
      <c r="C25" s="9" t="s">
        <v>32</v>
      </c>
      <c r="D25" s="7" t="s">
        <v>24</v>
      </c>
      <c r="E25" s="7">
        <v>1.5</v>
      </c>
    </row>
    <row r="26" spans="2:5" s="4" customFormat="1" ht="13.2" customHeight="1" thickBot="1" x14ac:dyDescent="0.3">
      <c r="B26" s="8"/>
      <c r="C26" s="9" t="s">
        <v>33</v>
      </c>
      <c r="D26" s="7" t="s">
        <v>34</v>
      </c>
      <c r="E26" s="7">
        <v>5</v>
      </c>
    </row>
    <row r="27" spans="2:5" s="4" customFormat="1" ht="13.2" customHeight="1" thickBot="1" x14ac:dyDescent="0.3">
      <c r="B27" s="5" t="s">
        <v>35</v>
      </c>
      <c r="C27" s="6" t="s">
        <v>16</v>
      </c>
      <c r="D27" s="7"/>
      <c r="E27" s="7"/>
    </row>
    <row r="28" spans="2:5" s="4" customFormat="1" ht="13.2" customHeight="1" thickBot="1" x14ac:dyDescent="0.3">
      <c r="B28" s="8"/>
      <c r="C28" s="9" t="s">
        <v>36</v>
      </c>
      <c r="D28" s="7" t="s">
        <v>37</v>
      </c>
      <c r="E28" s="7">
        <v>12</v>
      </c>
    </row>
    <row r="29" spans="2:5" s="4" customFormat="1" ht="13.2" customHeight="1" thickBot="1" x14ac:dyDescent="0.3">
      <c r="B29" s="8"/>
      <c r="C29" s="9" t="s">
        <v>38</v>
      </c>
      <c r="D29" s="7" t="s">
        <v>37</v>
      </c>
      <c r="E29" s="7">
        <v>2</v>
      </c>
    </row>
    <row r="30" spans="2:5" s="4" customFormat="1" ht="13.2" customHeight="1" thickBot="1" x14ac:dyDescent="0.3">
      <c r="B30" s="8"/>
      <c r="C30" s="9" t="s">
        <v>39</v>
      </c>
      <c r="D30" s="7" t="s">
        <v>37</v>
      </c>
      <c r="E30" s="7">
        <v>5</v>
      </c>
    </row>
    <row r="31" spans="2:5" s="4" customFormat="1" ht="13.2" customHeight="1" thickBot="1" x14ac:dyDescent="0.3">
      <c r="B31" s="5">
        <v>3</v>
      </c>
      <c r="C31" s="65" t="s">
        <v>40</v>
      </c>
      <c r="D31" s="66"/>
      <c r="E31" s="67"/>
    </row>
    <row r="32" spans="2:5" s="4" customFormat="1" ht="13.2" customHeight="1" thickBot="1" x14ac:dyDescent="0.3">
      <c r="B32" s="8" t="s">
        <v>41</v>
      </c>
      <c r="C32" s="9" t="s">
        <v>42</v>
      </c>
      <c r="D32" s="7" t="s">
        <v>71</v>
      </c>
      <c r="E32" s="7">
        <v>4000000</v>
      </c>
    </row>
    <row r="33" spans="2:5" s="4" customFormat="1" ht="13.2" customHeight="1" thickBot="1" x14ac:dyDescent="0.3">
      <c r="B33" s="8" t="s">
        <v>43</v>
      </c>
      <c r="C33" s="9" t="s">
        <v>44</v>
      </c>
      <c r="D33" s="7" t="s">
        <v>88</v>
      </c>
      <c r="E33" s="7">
        <v>2.3E-2</v>
      </c>
    </row>
    <row r="34" spans="2:5" s="4" customFormat="1" ht="13.2" customHeight="1" thickBot="1" x14ac:dyDescent="0.3">
      <c r="B34" s="5">
        <v>4</v>
      </c>
      <c r="C34" s="6" t="s">
        <v>45</v>
      </c>
      <c r="D34" s="7"/>
      <c r="E34" s="7"/>
    </row>
    <row r="35" spans="2:5" s="4" customFormat="1" ht="13.2" customHeight="1" thickBot="1" x14ac:dyDescent="0.3">
      <c r="B35" s="8" t="s">
        <v>46</v>
      </c>
      <c r="C35" s="9" t="s">
        <v>47</v>
      </c>
      <c r="D35" s="7" t="s">
        <v>48</v>
      </c>
      <c r="E35" s="7">
        <v>28</v>
      </c>
    </row>
    <row r="36" spans="2:5" s="4" customFormat="1" ht="13.2" customHeight="1" thickBot="1" x14ac:dyDescent="0.3">
      <c r="B36" s="8"/>
      <c r="C36" s="9" t="s">
        <v>49</v>
      </c>
      <c r="D36" s="7" t="s">
        <v>48</v>
      </c>
      <c r="E36" s="7">
        <v>3</v>
      </c>
    </row>
    <row r="37" spans="2:5" s="4" customFormat="1" ht="13.2" customHeight="1" thickBot="1" x14ac:dyDescent="0.3">
      <c r="B37" s="8" t="s">
        <v>50</v>
      </c>
      <c r="C37" s="9" t="s">
        <v>51</v>
      </c>
      <c r="D37" s="7"/>
      <c r="E37" s="7"/>
    </row>
    <row r="38" spans="2:5" s="4" customFormat="1" ht="13.2" customHeight="1" thickBot="1" x14ac:dyDescent="0.3">
      <c r="B38" s="8"/>
      <c r="C38" s="9" t="s">
        <v>52</v>
      </c>
      <c r="D38" s="7" t="s">
        <v>53</v>
      </c>
      <c r="E38" s="7">
        <v>30</v>
      </c>
    </row>
    <row r="39" spans="2:5" s="4" customFormat="1" ht="13.2" customHeight="1" thickBot="1" x14ac:dyDescent="0.3">
      <c r="B39" s="8"/>
      <c r="C39" s="9" t="s">
        <v>54</v>
      </c>
      <c r="D39" s="7" t="s">
        <v>53</v>
      </c>
      <c r="E39" s="7">
        <v>40</v>
      </c>
    </row>
    <row r="40" spans="2:5" s="4" customFormat="1" ht="13.2" customHeight="1" thickBot="1" x14ac:dyDescent="0.3">
      <c r="B40" s="8"/>
      <c r="C40" s="9" t="s">
        <v>55</v>
      </c>
      <c r="D40" s="7" t="s">
        <v>53</v>
      </c>
      <c r="E40" s="7">
        <v>30</v>
      </c>
    </row>
    <row r="41" spans="2:5" s="4" customFormat="1" ht="13.2" customHeight="1" thickBot="1" x14ac:dyDescent="0.3">
      <c r="B41" s="8" t="s">
        <v>56</v>
      </c>
      <c r="C41" s="9" t="s">
        <v>57</v>
      </c>
      <c r="D41" s="7" t="s">
        <v>53</v>
      </c>
      <c r="E41" s="7">
        <v>12</v>
      </c>
    </row>
  </sheetData>
  <mergeCells count="3">
    <mergeCell ref="C3:E3"/>
    <mergeCell ref="C17:E17"/>
    <mergeCell ref="C31:E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34"/>
  <sheetViews>
    <sheetView workbookViewId="0">
      <selection activeCell="D10" sqref="D10"/>
    </sheetView>
  </sheetViews>
  <sheetFormatPr defaultRowHeight="14.4" x14ac:dyDescent="0.3"/>
  <cols>
    <col min="2" max="2" width="7.109375" customWidth="1"/>
    <col min="3" max="4" width="42.77734375" customWidth="1"/>
  </cols>
  <sheetData>
    <row r="1" spans="2:5" ht="20.399999999999999" customHeight="1" thickBot="1" x14ac:dyDescent="0.35"/>
    <row r="2" spans="2:5" ht="12" customHeight="1" thickBot="1" x14ac:dyDescent="0.35">
      <c r="B2" s="2" t="s">
        <v>0</v>
      </c>
      <c r="C2" s="3" t="s">
        <v>58</v>
      </c>
      <c r="D2" s="3" t="s">
        <v>59</v>
      </c>
    </row>
    <row r="3" spans="2:5" ht="12" customHeight="1" thickBot="1" x14ac:dyDescent="0.35">
      <c r="B3" s="5">
        <v>1</v>
      </c>
      <c r="C3" s="6" t="s">
        <v>60</v>
      </c>
      <c r="D3" s="14">
        <f>D4+D5</f>
        <v>106400</v>
      </c>
    </row>
    <row r="4" spans="2:5" ht="12" customHeight="1" thickBot="1" x14ac:dyDescent="0.35">
      <c r="B4" s="8"/>
      <c r="C4" s="9" t="s">
        <v>7</v>
      </c>
      <c r="D4" s="7">
        <f>'Исходные данные'!E6*'Исходные данные'!E8</f>
        <v>50400</v>
      </c>
    </row>
    <row r="5" spans="2:5" ht="12" customHeight="1" thickBot="1" x14ac:dyDescent="0.35">
      <c r="B5" s="8"/>
      <c r="C5" s="9" t="s">
        <v>14</v>
      </c>
      <c r="D5" s="7">
        <f>'Исходные данные'!E10*'Исходные данные'!E12</f>
        <v>56000</v>
      </c>
    </row>
    <row r="6" spans="2:5" ht="12" customHeight="1" thickBot="1" x14ac:dyDescent="0.35">
      <c r="B6" s="5">
        <v>2</v>
      </c>
      <c r="C6" s="6" t="s">
        <v>16</v>
      </c>
      <c r="D6" s="14">
        <f>D7+D8+D9</f>
        <v>10800</v>
      </c>
    </row>
    <row r="7" spans="2:5" ht="12" customHeight="1" thickBot="1" x14ac:dyDescent="0.35">
      <c r="B7" s="8"/>
      <c r="C7" s="9" t="s">
        <v>17</v>
      </c>
      <c r="D7" s="7">
        <f>'Исходные данные'!E14</f>
        <v>7000</v>
      </c>
    </row>
    <row r="8" spans="2:5" ht="12" customHeight="1" thickBot="1" x14ac:dyDescent="0.35">
      <c r="B8" s="8"/>
      <c r="C8" s="9" t="s">
        <v>18</v>
      </c>
      <c r="D8" s="7">
        <f>'Исходные данные'!E15</f>
        <v>300</v>
      </c>
    </row>
    <row r="9" spans="2:5" ht="12" customHeight="1" thickBot="1" x14ac:dyDescent="0.35">
      <c r="B9" s="8"/>
      <c r="C9" s="15" t="s">
        <v>19</v>
      </c>
      <c r="D9" s="7">
        <f>'Исходные данные'!E16</f>
        <v>3500</v>
      </c>
    </row>
    <row r="10" spans="2:5" ht="12" customHeight="1" x14ac:dyDescent="0.3">
      <c r="B10" s="10"/>
      <c r="C10" s="17" t="s">
        <v>67</v>
      </c>
      <c r="D10" s="16">
        <f>D66+D3</f>
        <v>106400</v>
      </c>
    </row>
    <row r="11" spans="2:5" ht="18" x14ac:dyDescent="0.3">
      <c r="B11" s="10"/>
      <c r="C11" s="10"/>
      <c r="D11" s="11"/>
    </row>
    <row r="12" spans="2:5" ht="18" x14ac:dyDescent="0.3">
      <c r="B12" s="12"/>
      <c r="C12" s="12"/>
      <c r="D12" s="11"/>
    </row>
    <row r="13" spans="2:5" ht="35.4" thickBot="1" x14ac:dyDescent="0.35">
      <c r="B13" s="12"/>
      <c r="C13" s="27" t="s">
        <v>86</v>
      </c>
      <c r="D13" s="11"/>
    </row>
    <row r="14" spans="2:5" ht="19.2" thickTop="1" thickBot="1" x14ac:dyDescent="0.35">
      <c r="B14" s="12"/>
      <c r="C14" s="30" t="s">
        <v>52</v>
      </c>
      <c r="D14" s="29">
        <f>D10*0.3</f>
        <v>31920</v>
      </c>
      <c r="E14" s="28"/>
    </row>
    <row r="15" spans="2:5" ht="19.2" thickTop="1" thickBot="1" x14ac:dyDescent="0.35">
      <c r="B15" s="12"/>
      <c r="C15" s="30" t="s">
        <v>54</v>
      </c>
      <c r="D15" s="29">
        <f>D10*0.4</f>
        <v>42560</v>
      </c>
      <c r="E15" s="28"/>
    </row>
    <row r="16" spans="2:5" ht="19.2" thickTop="1" thickBot="1" x14ac:dyDescent="0.35">
      <c r="B16" s="12"/>
      <c r="C16" s="30" t="s">
        <v>55</v>
      </c>
      <c r="D16" s="29">
        <f>D10*0.3</f>
        <v>31920</v>
      </c>
      <c r="E16" s="28"/>
    </row>
    <row r="17" spans="2:4" ht="18.600000000000001" thickTop="1" x14ac:dyDescent="0.3">
      <c r="B17" s="12"/>
      <c r="C17" s="12"/>
      <c r="D17" s="11"/>
    </row>
    <row r="18" spans="2:4" ht="18" x14ac:dyDescent="0.3">
      <c r="B18" s="12"/>
      <c r="C18" s="12"/>
      <c r="D18" s="11"/>
    </row>
    <row r="19" spans="2:4" ht="18" x14ac:dyDescent="0.3">
      <c r="B19" s="12"/>
      <c r="C19" s="12"/>
      <c r="D19" s="11"/>
    </row>
    <row r="20" spans="2:4" ht="18" x14ac:dyDescent="0.3">
      <c r="B20" s="10"/>
      <c r="C20" s="10"/>
      <c r="D20" s="11"/>
    </row>
    <row r="21" spans="2:4" ht="18" x14ac:dyDescent="0.3">
      <c r="B21" s="12"/>
      <c r="C21" s="12"/>
      <c r="D21" s="11"/>
    </row>
    <row r="22" spans="2:4" ht="18" x14ac:dyDescent="0.3">
      <c r="B22" s="12"/>
      <c r="C22" s="12"/>
      <c r="D22" s="11"/>
    </row>
    <row r="23" spans="2:4" ht="18" x14ac:dyDescent="0.3">
      <c r="B23" s="12"/>
      <c r="C23" s="12"/>
      <c r="D23" s="11"/>
    </row>
    <row r="24" spans="2:4" ht="15.6" customHeight="1" x14ac:dyDescent="0.3">
      <c r="B24" s="10"/>
      <c r="C24" s="13"/>
      <c r="D24" s="13"/>
    </row>
    <row r="25" spans="2:4" ht="18" x14ac:dyDescent="0.3">
      <c r="B25" s="12"/>
      <c r="C25" s="12"/>
      <c r="D25" s="11"/>
    </row>
    <row r="26" spans="2:4" ht="18" x14ac:dyDescent="0.3">
      <c r="B26" s="12"/>
      <c r="C26" s="12"/>
      <c r="D26" s="11"/>
    </row>
    <row r="27" spans="2:4" ht="18" x14ac:dyDescent="0.3">
      <c r="B27" s="10"/>
      <c r="C27" s="10"/>
      <c r="D27" s="11"/>
    </row>
    <row r="28" spans="2:4" ht="18" x14ac:dyDescent="0.3">
      <c r="B28" s="12"/>
      <c r="C28" s="12"/>
      <c r="D28" s="11"/>
    </row>
    <row r="29" spans="2:4" ht="18" x14ac:dyDescent="0.3">
      <c r="B29" s="12"/>
      <c r="C29" s="12"/>
      <c r="D29" s="11"/>
    </row>
    <row r="30" spans="2:4" ht="18" x14ac:dyDescent="0.3">
      <c r="B30" s="12"/>
      <c r="C30" s="12"/>
      <c r="D30" s="11"/>
    </row>
    <row r="31" spans="2:4" ht="18" x14ac:dyDescent="0.3">
      <c r="B31" s="12"/>
      <c r="C31" s="12"/>
      <c r="D31" s="11"/>
    </row>
    <row r="32" spans="2:4" ht="18" x14ac:dyDescent="0.3">
      <c r="B32" s="12"/>
      <c r="C32" s="12"/>
      <c r="D32" s="11"/>
    </row>
    <row r="33" spans="2:4" ht="18" x14ac:dyDescent="0.3">
      <c r="B33" s="12"/>
      <c r="C33" s="12"/>
      <c r="D33" s="11"/>
    </row>
    <row r="34" spans="2:4" ht="18" x14ac:dyDescent="0.3">
      <c r="B34" s="12"/>
      <c r="C34" s="12"/>
      <c r="D34" s="11"/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4"/>
  <sheetViews>
    <sheetView workbookViewId="0">
      <selection activeCell="D14" sqref="D14"/>
    </sheetView>
  </sheetViews>
  <sheetFormatPr defaultRowHeight="14.4" x14ac:dyDescent="0.3"/>
  <cols>
    <col min="2" max="2" width="3.77734375" customWidth="1"/>
    <col min="3" max="4" width="51.6640625" customWidth="1"/>
  </cols>
  <sheetData>
    <row r="1" spans="2:4" ht="27" thickBot="1" x14ac:dyDescent="0.35">
      <c r="B1" s="2" t="s">
        <v>0</v>
      </c>
      <c r="C1" s="3" t="s">
        <v>58</v>
      </c>
      <c r="D1" s="3" t="s">
        <v>59</v>
      </c>
    </row>
    <row r="2" spans="2:4" ht="13.8" customHeight="1" thickBot="1" x14ac:dyDescent="0.35">
      <c r="B2" s="5">
        <v>1</v>
      </c>
      <c r="C2" s="6" t="s">
        <v>62</v>
      </c>
      <c r="D2" s="14">
        <f>D3+D4+D5+D6+D7+D8+D9</f>
        <v>16449.580000000002</v>
      </c>
    </row>
    <row r="3" spans="2:4" ht="13.8" customHeight="1" thickBot="1" x14ac:dyDescent="0.35">
      <c r="B3" s="8"/>
      <c r="C3" s="9" t="s">
        <v>23</v>
      </c>
      <c r="D3" s="7">
        <f>0.02*'Оценка капитальных затрат '!D4+0.02*'Оценка капитальных затрат '!D5</f>
        <v>2128</v>
      </c>
    </row>
    <row r="4" spans="2:4" ht="13.8" customHeight="1" thickBot="1" x14ac:dyDescent="0.35">
      <c r="B4" s="8"/>
      <c r="C4" s="9" t="s">
        <v>64</v>
      </c>
      <c r="D4" s="7">
        <f xml:space="preserve"> 'Исходные данные'!E20*'Исходные данные'!E21*12</f>
        <v>54</v>
      </c>
    </row>
    <row r="5" spans="2:4" ht="13.8" customHeight="1" thickBot="1" x14ac:dyDescent="0.35">
      <c r="B5" s="8"/>
      <c r="C5" s="9" t="s">
        <v>65</v>
      </c>
      <c r="D5" s="7">
        <f>'Исходные данные'!E20*'Исходные данные'!E22*12</f>
        <v>75.599999999999994</v>
      </c>
    </row>
    <row r="6" spans="2:4" ht="13.8" customHeight="1" thickBot="1" x14ac:dyDescent="0.35">
      <c r="B6" s="8"/>
      <c r="C6" s="9" t="s">
        <v>29</v>
      </c>
      <c r="D6" s="7">
        <f>'Исходные данные'!E23*'Исходные данные'!E6</f>
        <v>5600</v>
      </c>
    </row>
    <row r="7" spans="2:4" ht="13.8" customHeight="1" thickBot="1" x14ac:dyDescent="0.35">
      <c r="B7" s="8"/>
      <c r="C7" s="9" t="s">
        <v>31</v>
      </c>
      <c r="D7" s="7">
        <f>'Исходные данные'!E24*'Исходные данные'!E10</f>
        <v>5250</v>
      </c>
    </row>
    <row r="8" spans="2:4" ht="13.8" customHeight="1" thickBot="1" x14ac:dyDescent="0.35">
      <c r="B8" s="8"/>
      <c r="C8" s="9" t="s">
        <v>32</v>
      </c>
      <c r="D8" s="7">
        <f>0.015*'Оценка капитальных затрат '!D4+0.015*'Оценка капитальных затрат '!D5</f>
        <v>1596</v>
      </c>
    </row>
    <row r="9" spans="2:4" ht="13.8" customHeight="1" thickBot="1" x14ac:dyDescent="0.35">
      <c r="B9" s="8"/>
      <c r="C9" s="9" t="s">
        <v>33</v>
      </c>
      <c r="D9" s="7">
        <f>0.05*34919.6</f>
        <v>1745.98</v>
      </c>
    </row>
    <row r="10" spans="2:4" ht="13.8" customHeight="1" thickBot="1" x14ac:dyDescent="0.35">
      <c r="B10" s="5" t="s">
        <v>61</v>
      </c>
      <c r="C10" s="6" t="s">
        <v>63</v>
      </c>
      <c r="D10" s="14">
        <f>D11+D12+D13</f>
        <v>20216</v>
      </c>
    </row>
    <row r="11" spans="2:4" ht="13.8" customHeight="1" thickBot="1" x14ac:dyDescent="0.35">
      <c r="B11" s="8"/>
      <c r="C11" s="9" t="s">
        <v>36</v>
      </c>
      <c r="D11" s="7">
        <f>0.12*'Оценка капитальных затрат '!D4+0.12*'Оценка капитальных затрат '!D5</f>
        <v>12768</v>
      </c>
    </row>
    <row r="12" spans="2:4" ht="13.8" customHeight="1" thickBot="1" x14ac:dyDescent="0.35">
      <c r="B12" s="8"/>
      <c r="C12" s="9" t="s">
        <v>38</v>
      </c>
      <c r="D12" s="7">
        <f>0.02*'Оценка капитальных затрат '!D4+0.02*'Оценка капитальных затрат '!D5</f>
        <v>2128</v>
      </c>
    </row>
    <row r="13" spans="2:4" ht="13.8" customHeight="1" thickBot="1" x14ac:dyDescent="0.35">
      <c r="B13" s="8"/>
      <c r="C13" s="9" t="s">
        <v>39</v>
      </c>
      <c r="D13" s="7">
        <f>0.05*'Оценка капитальных затрат '!D4+0.05*'Оценка капитальных затрат '!D5</f>
        <v>5320</v>
      </c>
    </row>
    <row r="14" spans="2:4" x14ac:dyDescent="0.3">
      <c r="C14" s="18" t="s">
        <v>87</v>
      </c>
      <c r="D14" s="19">
        <f>D10+D2</f>
        <v>36665.58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"/>
  <sheetViews>
    <sheetView workbookViewId="0">
      <selection activeCell="B2" sqref="B2:I9"/>
    </sheetView>
  </sheetViews>
  <sheetFormatPr defaultRowHeight="14.4" x14ac:dyDescent="0.3"/>
  <cols>
    <col min="2" max="2" width="24.5546875" customWidth="1"/>
    <col min="3" max="3" width="27.88671875" customWidth="1"/>
    <col min="4" max="4" width="17.77734375" customWidth="1"/>
    <col min="5" max="8" width="13.21875" customWidth="1"/>
    <col min="9" max="9" width="25.5546875" customWidth="1"/>
  </cols>
  <sheetData>
    <row r="1" spans="2:11" ht="15" thickBot="1" x14ac:dyDescent="0.35">
      <c r="B1" s="1"/>
      <c r="C1" s="1"/>
      <c r="D1" s="1"/>
      <c r="E1" s="1"/>
      <c r="F1" s="1"/>
      <c r="G1" s="1"/>
      <c r="H1" s="1"/>
      <c r="I1" s="1"/>
      <c r="J1" s="1"/>
      <c r="K1" s="1"/>
    </row>
    <row r="2" spans="2:11" ht="15.6" thickTop="1" thickBot="1" x14ac:dyDescent="0.35">
      <c r="B2" s="45" t="s">
        <v>70</v>
      </c>
      <c r="C2" s="42">
        <f>'Оценка капитальных затрат '!D10</f>
        <v>106400</v>
      </c>
      <c r="D2" s="1"/>
      <c r="E2" s="1"/>
      <c r="F2" s="1"/>
      <c r="G2" s="1"/>
      <c r="H2" s="1"/>
      <c r="I2" s="1"/>
      <c r="J2" s="1"/>
      <c r="K2" s="1"/>
    </row>
    <row r="3" spans="2:11" ht="15.6" thickTop="1" thickBot="1" x14ac:dyDescent="0.35">
      <c r="B3" s="45" t="s">
        <v>69</v>
      </c>
      <c r="C3" s="43">
        <v>0.14000000000000001</v>
      </c>
    </row>
    <row r="4" spans="2:11" ht="16.8" customHeight="1" thickTop="1" thickBot="1" x14ac:dyDescent="0.35">
      <c r="B4" s="46" t="s">
        <v>100</v>
      </c>
      <c r="C4" s="47">
        <f>PMT(C3,I5,C2)</f>
        <v>-24811.668944462421</v>
      </c>
      <c r="D4" s="48"/>
      <c r="E4" s="48"/>
      <c r="F4" s="48"/>
      <c r="G4" s="48"/>
      <c r="H4" s="48"/>
      <c r="I4" s="48"/>
    </row>
    <row r="5" spans="2:11" ht="15.6" thickTop="1" thickBot="1" x14ac:dyDescent="0.35">
      <c r="B5" s="51" t="s">
        <v>99</v>
      </c>
      <c r="C5" s="52">
        <v>1</v>
      </c>
      <c r="D5" s="52">
        <v>2</v>
      </c>
      <c r="E5" s="52">
        <v>3</v>
      </c>
      <c r="F5" s="52">
        <v>4</v>
      </c>
      <c r="G5" s="52">
        <v>5</v>
      </c>
      <c r="H5" s="52">
        <v>6</v>
      </c>
      <c r="I5" s="52">
        <v>7</v>
      </c>
    </row>
    <row r="6" spans="2:11" ht="15.6" thickTop="1" thickBot="1" x14ac:dyDescent="0.35">
      <c r="B6" s="45" t="s">
        <v>101</v>
      </c>
      <c r="C6" s="49">
        <f>C2</f>
        <v>106400</v>
      </c>
      <c r="D6" s="50">
        <f>C6-C8</f>
        <v>96484.33</v>
      </c>
      <c r="E6" s="50">
        <f t="shared" ref="E6:I6" si="0">D6-D8</f>
        <v>85180.46620000001</v>
      </c>
      <c r="F6" s="50">
        <f t="shared" si="0"/>
        <v>72294.061468000014</v>
      </c>
      <c r="G6" s="50">
        <f t="shared" si="0"/>
        <v>57603.560073520021</v>
      </c>
      <c r="H6" s="50">
        <f t="shared" si="0"/>
        <v>40856.388483812829</v>
      </c>
      <c r="I6" s="50">
        <f t="shared" si="0"/>
        <v>21764.612871546626</v>
      </c>
    </row>
    <row r="7" spans="2:11" ht="15.6" thickTop="1" thickBot="1" x14ac:dyDescent="0.35">
      <c r="B7" s="45" t="s">
        <v>102</v>
      </c>
      <c r="C7" s="49">
        <f>C6*0.14</f>
        <v>14896.000000000002</v>
      </c>
      <c r="D7" s="49">
        <f t="shared" ref="D7:I7" si="1">D6*0.14</f>
        <v>13507.806200000001</v>
      </c>
      <c r="E7" s="49">
        <f t="shared" si="1"/>
        <v>11925.265268000003</v>
      </c>
      <c r="F7" s="49">
        <f t="shared" si="1"/>
        <v>10121.168605520003</v>
      </c>
      <c r="G7" s="49">
        <f t="shared" si="1"/>
        <v>8064.4984102928038</v>
      </c>
      <c r="H7" s="49">
        <f t="shared" si="1"/>
        <v>5719.894387733797</v>
      </c>
      <c r="I7" s="49">
        <f t="shared" si="1"/>
        <v>3047.0458020165279</v>
      </c>
    </row>
    <row r="8" spans="2:11" ht="15.6" thickTop="1" thickBot="1" x14ac:dyDescent="0.35">
      <c r="B8" s="45" t="s">
        <v>103</v>
      </c>
      <c r="C8" s="49">
        <f>24811.67-C7</f>
        <v>9915.6699999999964</v>
      </c>
      <c r="D8" s="49">
        <f t="shared" ref="D8:I8" si="2">24811.67-D7</f>
        <v>11303.863799999997</v>
      </c>
      <c r="E8" s="49">
        <f t="shared" si="2"/>
        <v>12886.404731999995</v>
      </c>
      <c r="F8" s="49">
        <f t="shared" si="2"/>
        <v>14690.501394479996</v>
      </c>
      <c r="G8" s="49">
        <f t="shared" si="2"/>
        <v>16747.171589707195</v>
      </c>
      <c r="H8" s="49">
        <f t="shared" si="2"/>
        <v>19091.775612266203</v>
      </c>
      <c r="I8" s="49">
        <f t="shared" si="2"/>
        <v>21764.62419798347</v>
      </c>
    </row>
    <row r="9" spans="2:11" ht="15.6" thickTop="1" thickBot="1" x14ac:dyDescent="0.35">
      <c r="B9" s="45" t="s">
        <v>104</v>
      </c>
      <c r="C9" s="49">
        <f>C6-C8</f>
        <v>96484.33</v>
      </c>
      <c r="D9" s="49">
        <f t="shared" ref="D9:H9" si="3">D6-D8</f>
        <v>85180.46620000001</v>
      </c>
      <c r="E9" s="49">
        <f t="shared" si="3"/>
        <v>72294.061468000014</v>
      </c>
      <c r="F9" s="49">
        <f t="shared" si="3"/>
        <v>57603.560073520021</v>
      </c>
      <c r="G9" s="49">
        <f t="shared" si="3"/>
        <v>40856.388483812829</v>
      </c>
      <c r="H9" s="49">
        <f t="shared" si="3"/>
        <v>21764.612871546626</v>
      </c>
      <c r="I9" s="49">
        <v>0</v>
      </c>
    </row>
    <row r="10" spans="2:11" ht="15" thickTop="1" x14ac:dyDescent="0.3">
      <c r="B10" s="44"/>
      <c r="C10" s="44"/>
    </row>
    <row r="11" spans="2:11" x14ac:dyDescent="0.3">
      <c r="C11" s="4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AD23"/>
  <sheetViews>
    <sheetView zoomScale="70" zoomScaleNormal="70" workbookViewId="0">
      <selection activeCell="F6" sqref="F6"/>
    </sheetView>
  </sheetViews>
  <sheetFormatPr defaultRowHeight="13.8" x14ac:dyDescent="0.25"/>
  <cols>
    <col min="1" max="1" width="8.88671875" style="1"/>
    <col min="2" max="2" width="22.6640625" style="1" customWidth="1"/>
    <col min="3" max="9" width="11.109375" style="41" customWidth="1"/>
    <col min="10" max="30" width="8.88671875" style="41"/>
    <col min="31" max="16384" width="8.88671875" style="1"/>
  </cols>
  <sheetData>
    <row r="4" spans="2:30" x14ac:dyDescent="0.25">
      <c r="B4" s="31" t="s">
        <v>106</v>
      </c>
      <c r="C4" s="40"/>
      <c r="D4" s="40">
        <f>'Исходные данные'!E32*'Исходные данные'!E33</f>
        <v>92000</v>
      </c>
      <c r="E4" s="40" t="s">
        <v>13</v>
      </c>
    </row>
    <row r="6" spans="2:30" ht="14.4" thickBot="1" x14ac:dyDescent="0.3"/>
    <row r="7" spans="2:30" s="33" customFormat="1" ht="49.8" customHeight="1" thickTop="1" thickBot="1" x14ac:dyDescent="0.35">
      <c r="B7" s="39" t="s">
        <v>89</v>
      </c>
      <c r="C7" s="32">
        <v>1</v>
      </c>
      <c r="D7" s="32">
        <v>2</v>
      </c>
      <c r="E7" s="32">
        <v>3</v>
      </c>
      <c r="F7" s="32">
        <v>4</v>
      </c>
      <c r="G7" s="32">
        <v>5</v>
      </c>
      <c r="H7" s="32">
        <v>6</v>
      </c>
      <c r="I7" s="32">
        <v>7</v>
      </c>
      <c r="J7" s="32">
        <v>8</v>
      </c>
      <c r="K7" s="32">
        <v>9</v>
      </c>
      <c r="L7" s="32">
        <v>10</v>
      </c>
      <c r="M7" s="32">
        <v>11</v>
      </c>
      <c r="N7" s="32">
        <v>12</v>
      </c>
      <c r="O7" s="32">
        <v>13</v>
      </c>
      <c r="P7" s="32">
        <v>14</v>
      </c>
      <c r="Q7" s="32">
        <v>15</v>
      </c>
      <c r="R7" s="32">
        <v>16</v>
      </c>
      <c r="S7" s="32">
        <v>17</v>
      </c>
      <c r="T7" s="32">
        <v>18</v>
      </c>
      <c r="U7" s="32">
        <v>19</v>
      </c>
      <c r="V7" s="32">
        <v>20</v>
      </c>
      <c r="W7" s="32">
        <v>21</v>
      </c>
      <c r="X7" s="32">
        <v>22</v>
      </c>
      <c r="Y7" s="32">
        <v>23</v>
      </c>
      <c r="Z7" s="32">
        <v>24</v>
      </c>
      <c r="AA7" s="32">
        <v>25</v>
      </c>
      <c r="AB7" s="32">
        <v>26</v>
      </c>
      <c r="AC7" s="32">
        <v>27</v>
      </c>
      <c r="AD7" s="32">
        <v>28</v>
      </c>
    </row>
    <row r="8" spans="2:30" s="33" customFormat="1" ht="49.8" customHeight="1" thickTop="1" thickBot="1" x14ac:dyDescent="0.35">
      <c r="B8" s="39" t="s">
        <v>90</v>
      </c>
      <c r="C8" s="34">
        <f>C9-C10</f>
        <v>0</v>
      </c>
      <c r="D8" s="34">
        <f t="shared" ref="D8:E8" si="0">D9-D10</f>
        <v>0</v>
      </c>
      <c r="E8" s="34">
        <f t="shared" si="0"/>
        <v>0</v>
      </c>
      <c r="F8" s="34">
        <f>F9+F10</f>
        <v>55334</v>
      </c>
      <c r="G8" s="34">
        <f t="shared" ref="G8:AD8" si="1">G9+G10</f>
        <v>55334</v>
      </c>
      <c r="H8" s="34">
        <f t="shared" si="1"/>
        <v>55334</v>
      </c>
      <c r="I8" s="34">
        <f t="shared" si="1"/>
        <v>55334</v>
      </c>
      <c r="J8" s="34">
        <f t="shared" si="1"/>
        <v>55334</v>
      </c>
      <c r="K8" s="34">
        <f t="shared" si="1"/>
        <v>55334</v>
      </c>
      <c r="L8" s="34">
        <f t="shared" si="1"/>
        <v>55334</v>
      </c>
      <c r="M8" s="34">
        <f t="shared" si="1"/>
        <v>55334</v>
      </c>
      <c r="N8" s="34">
        <f t="shared" si="1"/>
        <v>55334</v>
      </c>
      <c r="O8" s="34">
        <f t="shared" si="1"/>
        <v>55334</v>
      </c>
      <c r="P8" s="34">
        <f t="shared" si="1"/>
        <v>55334</v>
      </c>
      <c r="Q8" s="34">
        <f t="shared" si="1"/>
        <v>55334</v>
      </c>
      <c r="R8" s="34">
        <f t="shared" si="1"/>
        <v>55334</v>
      </c>
      <c r="S8" s="34">
        <f t="shared" si="1"/>
        <v>55334</v>
      </c>
      <c r="T8" s="34">
        <f t="shared" si="1"/>
        <v>55334</v>
      </c>
      <c r="U8" s="34">
        <f t="shared" si="1"/>
        <v>55334</v>
      </c>
      <c r="V8" s="34">
        <f t="shared" si="1"/>
        <v>55334</v>
      </c>
      <c r="W8" s="34">
        <f t="shared" si="1"/>
        <v>55334</v>
      </c>
      <c r="X8" s="34">
        <f t="shared" si="1"/>
        <v>55334</v>
      </c>
      <c r="Y8" s="34">
        <f t="shared" si="1"/>
        <v>55334</v>
      </c>
      <c r="Z8" s="34">
        <f t="shared" si="1"/>
        <v>55334</v>
      </c>
      <c r="AA8" s="34">
        <f t="shared" si="1"/>
        <v>55334</v>
      </c>
      <c r="AB8" s="34">
        <f t="shared" si="1"/>
        <v>55334</v>
      </c>
      <c r="AC8" s="34">
        <f t="shared" si="1"/>
        <v>55334</v>
      </c>
      <c r="AD8" s="34">
        <f t="shared" si="1"/>
        <v>55334</v>
      </c>
    </row>
    <row r="9" spans="2:30" s="33" customFormat="1" ht="49.8" customHeight="1" thickTop="1" thickBot="1" x14ac:dyDescent="0.35">
      <c r="B9" s="35" t="s">
        <v>93</v>
      </c>
      <c r="C9" s="38">
        <v>0</v>
      </c>
      <c r="D9" s="38">
        <v>0</v>
      </c>
      <c r="E9" s="38">
        <v>0</v>
      </c>
      <c r="F9" s="38">
        <v>92000</v>
      </c>
      <c r="G9" s="38">
        <v>92000</v>
      </c>
      <c r="H9" s="38">
        <v>92000</v>
      </c>
      <c r="I9" s="38">
        <v>92000</v>
      </c>
      <c r="J9" s="38">
        <v>92000</v>
      </c>
      <c r="K9" s="38">
        <v>92000</v>
      </c>
      <c r="L9" s="38">
        <v>92000</v>
      </c>
      <c r="M9" s="38">
        <v>92000</v>
      </c>
      <c r="N9" s="38">
        <v>92000</v>
      </c>
      <c r="O9" s="38">
        <v>92000</v>
      </c>
      <c r="P9" s="38">
        <v>92000</v>
      </c>
      <c r="Q9" s="38">
        <v>92000</v>
      </c>
      <c r="R9" s="38">
        <v>92000</v>
      </c>
      <c r="S9" s="38">
        <v>92000</v>
      </c>
      <c r="T9" s="38">
        <v>92000</v>
      </c>
      <c r="U9" s="38">
        <v>92000</v>
      </c>
      <c r="V9" s="38">
        <v>92000</v>
      </c>
      <c r="W9" s="38">
        <v>92000</v>
      </c>
      <c r="X9" s="38">
        <v>92000</v>
      </c>
      <c r="Y9" s="38">
        <v>92000</v>
      </c>
      <c r="Z9" s="38">
        <v>92000</v>
      </c>
      <c r="AA9" s="38">
        <v>92000</v>
      </c>
      <c r="AB9" s="38">
        <v>92000</v>
      </c>
      <c r="AC9" s="38">
        <v>92000</v>
      </c>
      <c r="AD9" s="38">
        <v>92000</v>
      </c>
    </row>
    <row r="10" spans="2:30" s="33" customFormat="1" ht="49.8" customHeight="1" thickTop="1" thickBot="1" x14ac:dyDescent="0.35">
      <c r="B10" s="35" t="s">
        <v>92</v>
      </c>
      <c r="C10" s="38">
        <v>0</v>
      </c>
      <c r="D10" s="38">
        <v>0</v>
      </c>
      <c r="E10" s="38">
        <v>0</v>
      </c>
      <c r="F10" s="38">
        <v>-36666</v>
      </c>
      <c r="G10" s="38">
        <v>-36666</v>
      </c>
      <c r="H10" s="38">
        <v>-36666</v>
      </c>
      <c r="I10" s="38">
        <v>-36666</v>
      </c>
      <c r="J10" s="38">
        <v>-36666</v>
      </c>
      <c r="K10" s="38">
        <v>-36666</v>
      </c>
      <c r="L10" s="38">
        <v>-36666</v>
      </c>
      <c r="M10" s="38">
        <v>-36666</v>
      </c>
      <c r="N10" s="38">
        <v>-36666</v>
      </c>
      <c r="O10" s="38">
        <v>-36666</v>
      </c>
      <c r="P10" s="38">
        <v>-36666</v>
      </c>
      <c r="Q10" s="38">
        <v>-36666</v>
      </c>
      <c r="R10" s="38">
        <v>-36666</v>
      </c>
      <c r="S10" s="38">
        <v>-36666</v>
      </c>
      <c r="T10" s="38">
        <v>-36666</v>
      </c>
      <c r="U10" s="38">
        <v>-36666</v>
      </c>
      <c r="V10" s="38">
        <v>-36666</v>
      </c>
      <c r="W10" s="38">
        <v>-36666</v>
      </c>
      <c r="X10" s="38">
        <v>-36666</v>
      </c>
      <c r="Y10" s="38">
        <v>-36666</v>
      </c>
      <c r="Z10" s="38">
        <v>-36666</v>
      </c>
      <c r="AA10" s="38">
        <v>-36666</v>
      </c>
      <c r="AB10" s="38">
        <v>-36666</v>
      </c>
      <c r="AC10" s="38">
        <v>-36666</v>
      </c>
      <c r="AD10" s="38">
        <v>-36666</v>
      </c>
    </row>
    <row r="11" spans="2:30" s="33" customFormat="1" ht="49.8" customHeight="1" thickTop="1" thickBot="1" x14ac:dyDescent="0.35">
      <c r="B11" s="39" t="s">
        <v>91</v>
      </c>
      <c r="C11" s="34">
        <f>C12</f>
        <v>-31920</v>
      </c>
      <c r="D11" s="34">
        <f t="shared" ref="D11:AD11" si="2">D12</f>
        <v>-42560</v>
      </c>
      <c r="E11" s="34">
        <f t="shared" si="2"/>
        <v>-31920</v>
      </c>
      <c r="F11" s="34">
        <f t="shared" si="2"/>
        <v>0</v>
      </c>
      <c r="G11" s="34">
        <f t="shared" si="2"/>
        <v>0</v>
      </c>
      <c r="H11" s="34">
        <f t="shared" si="2"/>
        <v>0</v>
      </c>
      <c r="I11" s="34">
        <f t="shared" si="2"/>
        <v>0</v>
      </c>
      <c r="J11" s="34">
        <f t="shared" si="2"/>
        <v>0</v>
      </c>
      <c r="K11" s="34">
        <f t="shared" si="2"/>
        <v>0</v>
      </c>
      <c r="L11" s="34">
        <f t="shared" si="2"/>
        <v>0</v>
      </c>
      <c r="M11" s="34">
        <f t="shared" si="2"/>
        <v>0</v>
      </c>
      <c r="N11" s="34">
        <f t="shared" si="2"/>
        <v>0</v>
      </c>
      <c r="O11" s="34">
        <f t="shared" si="2"/>
        <v>0</v>
      </c>
      <c r="P11" s="34">
        <f t="shared" si="2"/>
        <v>0</v>
      </c>
      <c r="Q11" s="34">
        <f t="shared" si="2"/>
        <v>0</v>
      </c>
      <c r="R11" s="34">
        <f t="shared" si="2"/>
        <v>0</v>
      </c>
      <c r="S11" s="34">
        <f t="shared" si="2"/>
        <v>0</v>
      </c>
      <c r="T11" s="34">
        <f t="shared" si="2"/>
        <v>0</v>
      </c>
      <c r="U11" s="34">
        <f t="shared" si="2"/>
        <v>0</v>
      </c>
      <c r="V11" s="34">
        <f t="shared" si="2"/>
        <v>0</v>
      </c>
      <c r="W11" s="34">
        <f t="shared" si="2"/>
        <v>0</v>
      </c>
      <c r="X11" s="34">
        <f t="shared" si="2"/>
        <v>0</v>
      </c>
      <c r="Y11" s="34">
        <f t="shared" si="2"/>
        <v>0</v>
      </c>
      <c r="Z11" s="34">
        <f t="shared" si="2"/>
        <v>0</v>
      </c>
      <c r="AA11" s="34">
        <f t="shared" si="2"/>
        <v>0</v>
      </c>
      <c r="AB11" s="34">
        <f t="shared" si="2"/>
        <v>0</v>
      </c>
      <c r="AC11" s="34">
        <f t="shared" si="2"/>
        <v>0</v>
      </c>
      <c r="AD11" s="34">
        <f t="shared" si="2"/>
        <v>0</v>
      </c>
    </row>
    <row r="12" spans="2:30" s="33" customFormat="1" ht="49.8" customHeight="1" thickTop="1" thickBot="1" x14ac:dyDescent="0.35">
      <c r="B12" s="35" t="s">
        <v>94</v>
      </c>
      <c r="C12" s="38">
        <v>-31920</v>
      </c>
      <c r="D12" s="38">
        <v>-42560</v>
      </c>
      <c r="E12" s="38">
        <v>-31920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38">
        <v>0</v>
      </c>
      <c r="AC12" s="38">
        <v>0</v>
      </c>
      <c r="AD12" s="38">
        <v>0</v>
      </c>
    </row>
    <row r="13" spans="2:30" s="33" customFormat="1" ht="49.8" customHeight="1" thickTop="1" thickBot="1" x14ac:dyDescent="0.35">
      <c r="B13" s="36" t="s">
        <v>95</v>
      </c>
      <c r="C13" s="38">
        <f>C14-C15-C16</f>
        <v>81588.33</v>
      </c>
      <c r="D13" s="38">
        <f t="shared" ref="D13:AD13" si="3">D14-D15-D16</f>
        <v>-24811.67</v>
      </c>
      <c r="E13" s="38">
        <f t="shared" si="3"/>
        <v>-24811.67</v>
      </c>
      <c r="F13" s="38">
        <v>-24812</v>
      </c>
      <c r="G13" s="38">
        <f t="shared" si="3"/>
        <v>-24811.67</v>
      </c>
      <c r="H13" s="38">
        <f t="shared" si="3"/>
        <v>-24811.67</v>
      </c>
      <c r="I13" s="38">
        <f t="shared" si="3"/>
        <v>-24811.67</v>
      </c>
      <c r="J13" s="38">
        <f t="shared" si="3"/>
        <v>0</v>
      </c>
      <c r="K13" s="38">
        <f t="shared" si="3"/>
        <v>0</v>
      </c>
      <c r="L13" s="38">
        <f t="shared" si="3"/>
        <v>0</v>
      </c>
      <c r="M13" s="38">
        <f t="shared" si="3"/>
        <v>0</v>
      </c>
      <c r="N13" s="38">
        <f t="shared" si="3"/>
        <v>0</v>
      </c>
      <c r="O13" s="38">
        <f t="shared" si="3"/>
        <v>0</v>
      </c>
      <c r="P13" s="38">
        <f t="shared" si="3"/>
        <v>0</v>
      </c>
      <c r="Q13" s="38">
        <f t="shared" si="3"/>
        <v>0</v>
      </c>
      <c r="R13" s="38">
        <f t="shared" si="3"/>
        <v>0</v>
      </c>
      <c r="S13" s="38">
        <f t="shared" si="3"/>
        <v>0</v>
      </c>
      <c r="T13" s="38">
        <f t="shared" si="3"/>
        <v>0</v>
      </c>
      <c r="U13" s="38">
        <f t="shared" si="3"/>
        <v>0</v>
      </c>
      <c r="V13" s="38">
        <f t="shared" si="3"/>
        <v>0</v>
      </c>
      <c r="W13" s="38">
        <f t="shared" si="3"/>
        <v>0</v>
      </c>
      <c r="X13" s="38">
        <f t="shared" si="3"/>
        <v>0</v>
      </c>
      <c r="Y13" s="38">
        <f t="shared" si="3"/>
        <v>0</v>
      </c>
      <c r="Z13" s="38">
        <f t="shared" si="3"/>
        <v>0</v>
      </c>
      <c r="AA13" s="38">
        <f t="shared" si="3"/>
        <v>0</v>
      </c>
      <c r="AB13" s="38">
        <f t="shared" si="3"/>
        <v>0</v>
      </c>
      <c r="AC13" s="38">
        <f t="shared" si="3"/>
        <v>0</v>
      </c>
      <c r="AD13" s="38">
        <f t="shared" si="3"/>
        <v>0</v>
      </c>
    </row>
    <row r="14" spans="2:30" s="33" customFormat="1" ht="49.8" customHeight="1" thickTop="1" thickBot="1" x14ac:dyDescent="0.35">
      <c r="B14" s="37" t="s">
        <v>96</v>
      </c>
      <c r="C14" s="38">
        <v>106400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38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38">
        <v>0</v>
      </c>
      <c r="Y14" s="38">
        <v>0</v>
      </c>
      <c r="Z14" s="38">
        <v>0</v>
      </c>
      <c r="AA14" s="38">
        <v>0</v>
      </c>
      <c r="AB14" s="38">
        <v>0</v>
      </c>
      <c r="AC14" s="38">
        <v>0</v>
      </c>
      <c r="AD14" s="38">
        <v>0</v>
      </c>
    </row>
    <row r="15" spans="2:30" s="33" customFormat="1" ht="49.8" customHeight="1" thickTop="1" thickBot="1" x14ac:dyDescent="0.35">
      <c r="B15" s="37" t="s">
        <v>97</v>
      </c>
      <c r="C15" s="49">
        <f>Кредит!C7</f>
        <v>14896.000000000002</v>
      </c>
      <c r="D15" s="49">
        <f>Кредит!D7</f>
        <v>13507.806200000001</v>
      </c>
      <c r="E15" s="49">
        <f>Кредит!E7</f>
        <v>11925.265268000003</v>
      </c>
      <c r="F15" s="49">
        <f>Кредит!F7</f>
        <v>10121.168605520003</v>
      </c>
      <c r="G15" s="49">
        <f>Кредит!G7</f>
        <v>8064.4984102928038</v>
      </c>
      <c r="H15" s="49">
        <f>Кредит!H7</f>
        <v>5719.894387733797</v>
      </c>
      <c r="I15" s="49">
        <f>Кредит!I7</f>
        <v>3047.0458020165279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38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38">
        <v>0</v>
      </c>
      <c r="Y15" s="38">
        <v>0</v>
      </c>
      <c r="Z15" s="38">
        <v>0</v>
      </c>
      <c r="AA15" s="38">
        <v>0</v>
      </c>
      <c r="AB15" s="38">
        <v>0</v>
      </c>
      <c r="AC15" s="38">
        <v>0</v>
      </c>
      <c r="AD15" s="38">
        <v>0</v>
      </c>
    </row>
    <row r="16" spans="2:30" s="33" customFormat="1" ht="49.8" customHeight="1" thickTop="1" thickBot="1" x14ac:dyDescent="0.35">
      <c r="B16" s="37" t="s">
        <v>98</v>
      </c>
      <c r="C16" s="49">
        <f>Кредит!C8</f>
        <v>9915.6699999999964</v>
      </c>
      <c r="D16" s="49">
        <f>Кредит!D8</f>
        <v>11303.863799999997</v>
      </c>
      <c r="E16" s="49">
        <f>Кредит!E8</f>
        <v>12886.404731999995</v>
      </c>
      <c r="F16" s="49">
        <f>Кредит!F8</f>
        <v>14690.501394479996</v>
      </c>
      <c r="G16" s="49">
        <f>Кредит!G8</f>
        <v>16747.171589707195</v>
      </c>
      <c r="H16" s="49">
        <f>Кредит!H8</f>
        <v>19091.775612266203</v>
      </c>
      <c r="I16" s="49">
        <f>Кредит!I8</f>
        <v>21764.62419798347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  <c r="Y16" s="38">
        <v>0</v>
      </c>
      <c r="Z16" s="38">
        <v>0</v>
      </c>
      <c r="AA16" s="38">
        <v>0</v>
      </c>
      <c r="AB16" s="38">
        <v>0</v>
      </c>
      <c r="AC16" s="38">
        <v>0</v>
      </c>
      <c r="AD16" s="38">
        <v>0</v>
      </c>
    </row>
    <row r="17" spans="2:30" ht="32.4" thickTop="1" thickBot="1" x14ac:dyDescent="0.3">
      <c r="B17" s="36" t="s">
        <v>105</v>
      </c>
      <c r="C17" s="53">
        <f>C8+C11+C13</f>
        <v>49668.33</v>
      </c>
      <c r="D17" s="53">
        <f t="shared" ref="D17:AD17" si="4">D8+D11+D13</f>
        <v>-67371.67</v>
      </c>
      <c r="E17" s="53">
        <f t="shared" si="4"/>
        <v>-56731.67</v>
      </c>
      <c r="F17" s="53">
        <f t="shared" si="4"/>
        <v>30522</v>
      </c>
      <c r="G17" s="53">
        <f>G8+G11+G13</f>
        <v>30522.33</v>
      </c>
      <c r="H17" s="53">
        <f>H8+H11+H13</f>
        <v>30522.33</v>
      </c>
      <c r="I17" s="53">
        <f t="shared" si="4"/>
        <v>30522.33</v>
      </c>
      <c r="J17" s="53">
        <f t="shared" si="4"/>
        <v>55334</v>
      </c>
      <c r="K17" s="53">
        <f t="shared" si="4"/>
        <v>55334</v>
      </c>
      <c r="L17" s="53">
        <f t="shared" si="4"/>
        <v>55334</v>
      </c>
      <c r="M17" s="53">
        <f t="shared" si="4"/>
        <v>55334</v>
      </c>
      <c r="N17" s="53">
        <f t="shared" si="4"/>
        <v>55334</v>
      </c>
      <c r="O17" s="53">
        <f t="shared" si="4"/>
        <v>55334</v>
      </c>
      <c r="P17" s="53">
        <f t="shared" si="4"/>
        <v>55334</v>
      </c>
      <c r="Q17" s="53">
        <f t="shared" si="4"/>
        <v>55334</v>
      </c>
      <c r="R17" s="53">
        <f t="shared" si="4"/>
        <v>55334</v>
      </c>
      <c r="S17" s="53">
        <f t="shared" si="4"/>
        <v>55334</v>
      </c>
      <c r="T17" s="53">
        <f t="shared" si="4"/>
        <v>55334</v>
      </c>
      <c r="U17" s="53">
        <f t="shared" si="4"/>
        <v>55334</v>
      </c>
      <c r="V17" s="53">
        <f t="shared" si="4"/>
        <v>55334</v>
      </c>
      <c r="W17" s="53">
        <f t="shared" si="4"/>
        <v>55334</v>
      </c>
      <c r="X17" s="53">
        <f t="shared" si="4"/>
        <v>55334</v>
      </c>
      <c r="Y17" s="53">
        <f t="shared" si="4"/>
        <v>55334</v>
      </c>
      <c r="Z17" s="53">
        <f t="shared" si="4"/>
        <v>55334</v>
      </c>
      <c r="AA17" s="53">
        <f t="shared" si="4"/>
        <v>55334</v>
      </c>
      <c r="AB17" s="53">
        <f t="shared" si="4"/>
        <v>55334</v>
      </c>
      <c r="AC17" s="53">
        <f t="shared" si="4"/>
        <v>55334</v>
      </c>
      <c r="AD17" s="53">
        <f t="shared" si="4"/>
        <v>55334</v>
      </c>
    </row>
    <row r="18" spans="2:30" ht="14.4" thickTop="1" x14ac:dyDescent="0.25"/>
    <row r="23" spans="2:30" x14ac:dyDescent="0.25">
      <c r="I23" s="41">
        <f>2500-375-833</f>
        <v>1292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23"/>
  <sheetViews>
    <sheetView tabSelected="1" workbookViewId="0">
      <selection activeCell="D26" sqref="D26"/>
    </sheetView>
  </sheetViews>
  <sheetFormatPr defaultRowHeight="14.4" x14ac:dyDescent="0.3"/>
  <cols>
    <col min="2" max="2" width="5.88671875" style="4" customWidth="1"/>
    <col min="3" max="3" width="48.33203125" style="4" customWidth="1"/>
    <col min="4" max="4" width="11.88671875" style="4" customWidth="1"/>
    <col min="5" max="5" width="13" style="4" customWidth="1"/>
    <col min="6" max="6" width="11.88671875" style="4" customWidth="1"/>
    <col min="7" max="7" width="12.44140625" style="4" customWidth="1"/>
    <col min="8" max="8" width="11" customWidth="1"/>
    <col min="9" max="9" width="11.109375" customWidth="1"/>
    <col min="10" max="10" width="11.21875" customWidth="1"/>
    <col min="11" max="11" width="12.77734375" customWidth="1"/>
    <col min="12" max="13" width="10.6640625" customWidth="1"/>
    <col min="14" max="32" width="11.33203125" customWidth="1"/>
  </cols>
  <sheetData>
    <row r="1" spans="2:32" ht="15" thickBot="1" x14ac:dyDescent="0.35"/>
    <row r="2" spans="2:32" ht="11.4" customHeight="1" thickBot="1" x14ac:dyDescent="0.35">
      <c r="B2" s="68" t="s">
        <v>0</v>
      </c>
      <c r="C2" s="20" t="s">
        <v>72</v>
      </c>
      <c r="D2" s="71" t="s">
        <v>68</v>
      </c>
      <c r="E2" s="68">
        <v>1</v>
      </c>
      <c r="F2" s="68">
        <v>2</v>
      </c>
      <c r="G2" s="68">
        <v>3</v>
      </c>
      <c r="H2" s="68">
        <v>4</v>
      </c>
      <c r="I2" s="68">
        <v>5</v>
      </c>
      <c r="J2" s="68">
        <v>6</v>
      </c>
      <c r="K2" s="68">
        <v>7</v>
      </c>
      <c r="L2" s="68">
        <v>8</v>
      </c>
      <c r="M2" s="68">
        <v>9</v>
      </c>
      <c r="N2" s="68">
        <v>10</v>
      </c>
      <c r="O2" s="68">
        <v>11</v>
      </c>
      <c r="P2" s="68">
        <v>12</v>
      </c>
      <c r="Q2" s="68">
        <v>13</v>
      </c>
      <c r="R2" s="68">
        <v>14</v>
      </c>
      <c r="S2" s="68">
        <v>15</v>
      </c>
      <c r="T2" s="68">
        <v>16</v>
      </c>
      <c r="U2" s="68">
        <v>17</v>
      </c>
      <c r="V2" s="68">
        <v>18</v>
      </c>
      <c r="W2" s="68">
        <v>19</v>
      </c>
      <c r="X2" s="68">
        <v>20</v>
      </c>
      <c r="Y2" s="68">
        <v>21</v>
      </c>
      <c r="Z2" s="68">
        <v>22</v>
      </c>
      <c r="AA2" s="68">
        <v>23</v>
      </c>
      <c r="AB2" s="68">
        <v>24</v>
      </c>
      <c r="AC2" s="68">
        <v>25</v>
      </c>
      <c r="AD2" s="68">
        <v>26</v>
      </c>
      <c r="AE2" s="68">
        <v>27</v>
      </c>
      <c r="AF2" s="68">
        <v>28</v>
      </c>
    </row>
    <row r="3" spans="2:32" ht="11.4" customHeight="1" thickBot="1" x14ac:dyDescent="0.35">
      <c r="B3" s="70"/>
      <c r="C3" s="21" t="s">
        <v>1</v>
      </c>
      <c r="D3" s="72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</row>
    <row r="4" spans="2:32" ht="11.4" customHeight="1" thickTop="1" thickBot="1" x14ac:dyDescent="0.35">
      <c r="B4" s="22">
        <v>1</v>
      </c>
      <c r="C4" s="23" t="s">
        <v>73</v>
      </c>
      <c r="D4" s="25">
        <f>SUM(E4:AF4)</f>
        <v>1209667.98</v>
      </c>
      <c r="E4" s="26">
        <f>'Расчет годовой выручки'!C17</f>
        <v>49668.33</v>
      </c>
      <c r="F4" s="26">
        <f>'Расчет годовой выручки'!D17</f>
        <v>-67371.67</v>
      </c>
      <c r="G4" s="26">
        <f>'Расчет годовой выручки'!E17</f>
        <v>-56731.67</v>
      </c>
      <c r="H4" s="26">
        <f>'Расчет годовой выручки'!F17</f>
        <v>30522</v>
      </c>
      <c r="I4" s="26">
        <f>'Расчет годовой выручки'!G17</f>
        <v>30522.33</v>
      </c>
      <c r="J4" s="26">
        <f>'Расчет годовой выручки'!H17</f>
        <v>30522.33</v>
      </c>
      <c r="K4" s="26">
        <f>'Расчет годовой выручки'!I17</f>
        <v>30522.33</v>
      </c>
      <c r="L4" s="26">
        <f>'Расчет годовой выручки'!J17</f>
        <v>55334</v>
      </c>
      <c r="M4" s="26">
        <f>'Расчет годовой выручки'!K17</f>
        <v>55334</v>
      </c>
      <c r="N4" s="26">
        <f>'Расчет годовой выручки'!L17</f>
        <v>55334</v>
      </c>
      <c r="O4" s="26">
        <f>'Расчет годовой выручки'!M17</f>
        <v>55334</v>
      </c>
      <c r="P4" s="26">
        <f>'Расчет годовой выручки'!N17</f>
        <v>55334</v>
      </c>
      <c r="Q4" s="26">
        <f>'Расчет годовой выручки'!O17</f>
        <v>55334</v>
      </c>
      <c r="R4" s="26">
        <f>'Расчет годовой выручки'!P17</f>
        <v>55334</v>
      </c>
      <c r="S4" s="26">
        <f>'Расчет годовой выручки'!Q17</f>
        <v>55334</v>
      </c>
      <c r="T4" s="26">
        <f>'Расчет годовой выручки'!R17</f>
        <v>55334</v>
      </c>
      <c r="U4" s="26">
        <f>'Расчет годовой выручки'!S17</f>
        <v>55334</v>
      </c>
      <c r="V4" s="26">
        <f>'Расчет годовой выручки'!T17</f>
        <v>55334</v>
      </c>
      <c r="W4" s="26">
        <f>'Расчет годовой выручки'!U17</f>
        <v>55334</v>
      </c>
      <c r="X4" s="26">
        <f>'Расчет годовой выручки'!V17</f>
        <v>55334</v>
      </c>
      <c r="Y4" s="26">
        <f>'Расчет годовой выручки'!W17</f>
        <v>55334</v>
      </c>
      <c r="Z4" s="26">
        <f>'Расчет годовой выручки'!X17</f>
        <v>55334</v>
      </c>
      <c r="AA4" s="26">
        <f>'Расчет годовой выручки'!Y17</f>
        <v>55334</v>
      </c>
      <c r="AB4" s="26">
        <f>'Расчет годовой выручки'!Z17</f>
        <v>55334</v>
      </c>
      <c r="AC4" s="26">
        <f>'Расчет годовой выручки'!AA17</f>
        <v>55334</v>
      </c>
      <c r="AD4" s="26">
        <f>'Расчет годовой выручки'!AB17</f>
        <v>55334</v>
      </c>
      <c r="AE4" s="26">
        <f>'Расчет годовой выручки'!AC17</f>
        <v>55334</v>
      </c>
      <c r="AF4" s="26">
        <f>'Расчет годовой выручки'!AD17</f>
        <v>55334</v>
      </c>
    </row>
    <row r="5" spans="2:32" ht="11.4" customHeight="1" thickTop="1" thickBot="1" x14ac:dyDescent="0.35">
      <c r="B5" s="22">
        <v>2</v>
      </c>
      <c r="C5" s="23" t="s">
        <v>74</v>
      </c>
      <c r="D5" s="25">
        <f>SUM(E5:AF5)</f>
        <v>106400</v>
      </c>
      <c r="E5" s="26">
        <f>'Оценка капитальных затрат '!D14</f>
        <v>31920</v>
      </c>
      <c r="F5" s="26">
        <f>'Оценка капитальных затрат '!D15</f>
        <v>42560</v>
      </c>
      <c r="G5" s="26">
        <f>'Оценка капитальных затрат '!D16</f>
        <v>31920</v>
      </c>
      <c r="H5" s="26">
        <f>'Расчет годовой выручки'!F11</f>
        <v>0</v>
      </c>
      <c r="I5" s="26">
        <f>'Расчет годовой выручки'!G11</f>
        <v>0</v>
      </c>
      <c r="J5" s="26">
        <f>'Расчет годовой выручки'!H11</f>
        <v>0</v>
      </c>
      <c r="K5" s="26">
        <f>'Расчет годовой выручки'!I11</f>
        <v>0</v>
      </c>
      <c r="L5" s="26">
        <f>'Расчет годовой выручки'!J11</f>
        <v>0</v>
      </c>
      <c r="M5" s="26">
        <f>'Расчет годовой выручки'!K11</f>
        <v>0</v>
      </c>
      <c r="N5" s="26">
        <f>'Расчет годовой выручки'!L11</f>
        <v>0</v>
      </c>
      <c r="O5" s="26">
        <f>'Расчет годовой выручки'!M11</f>
        <v>0</v>
      </c>
      <c r="P5" s="26">
        <f>'Расчет годовой выручки'!N11</f>
        <v>0</v>
      </c>
      <c r="Q5" s="26">
        <f>'Расчет годовой выручки'!O11</f>
        <v>0</v>
      </c>
      <c r="R5" s="26">
        <f>'Расчет годовой выручки'!P11</f>
        <v>0</v>
      </c>
      <c r="S5" s="26">
        <f>'Расчет годовой выручки'!Q11</f>
        <v>0</v>
      </c>
      <c r="T5" s="26">
        <f>'Расчет годовой выручки'!R11</f>
        <v>0</v>
      </c>
      <c r="U5" s="26">
        <f>'Расчет годовой выручки'!S11</f>
        <v>0</v>
      </c>
      <c r="V5" s="26">
        <f>'Расчет годовой выручки'!T11</f>
        <v>0</v>
      </c>
      <c r="W5" s="26">
        <f>'Расчет годовой выручки'!U11</f>
        <v>0</v>
      </c>
      <c r="X5" s="26">
        <f>'Расчет годовой выручки'!V11</f>
        <v>0</v>
      </c>
      <c r="Y5" s="26">
        <f>'Расчет годовой выручки'!W11</f>
        <v>0</v>
      </c>
      <c r="Z5" s="26">
        <f>'Расчет годовой выручки'!X11</f>
        <v>0</v>
      </c>
      <c r="AA5" s="26">
        <f>'Расчет годовой выручки'!Y11</f>
        <v>0</v>
      </c>
      <c r="AB5" s="26">
        <f>'Расчет годовой выручки'!Z11</f>
        <v>0</v>
      </c>
      <c r="AC5" s="26">
        <f>'Расчет годовой выручки'!AA11</f>
        <v>0</v>
      </c>
      <c r="AD5" s="26">
        <f>'Расчет годовой выручки'!AB11</f>
        <v>0</v>
      </c>
      <c r="AE5" s="26">
        <f>'Расчет годовой выручки'!AC11</f>
        <v>0</v>
      </c>
      <c r="AF5" s="26">
        <f>'Расчет годовой выручки'!AD11</f>
        <v>0</v>
      </c>
    </row>
    <row r="6" spans="2:32" ht="11.4" customHeight="1" thickTop="1" thickBot="1" x14ac:dyDescent="0.35">
      <c r="B6" s="22">
        <v>3</v>
      </c>
      <c r="C6" s="23" t="s">
        <v>75</v>
      </c>
      <c r="D6" s="25">
        <f t="shared" ref="D6:D14" si="0">SUM(E6:AF6)</f>
        <v>106400.01132643686</v>
      </c>
      <c r="E6" s="54">
        <f>'Расчет годовой выручки'!C16</f>
        <v>9915.6699999999964</v>
      </c>
      <c r="F6" s="54">
        <f>'Расчет годовой выручки'!D16</f>
        <v>11303.863799999997</v>
      </c>
      <c r="G6" s="54">
        <f>'Расчет годовой выручки'!E16</f>
        <v>12886.404731999995</v>
      </c>
      <c r="H6" s="54">
        <f>'Расчет годовой выручки'!F16</f>
        <v>14690.501394479996</v>
      </c>
      <c r="I6" s="54">
        <f>'Расчет годовой выручки'!G16</f>
        <v>16747.171589707195</v>
      </c>
      <c r="J6" s="54">
        <f>'Расчет годовой выручки'!H16</f>
        <v>19091.775612266203</v>
      </c>
      <c r="K6" s="54">
        <f>'Расчет годовой выручки'!I16</f>
        <v>21764.62419798347</v>
      </c>
      <c r="L6" s="54">
        <f>'Расчет годовой выручки'!J16</f>
        <v>0</v>
      </c>
      <c r="M6" s="54">
        <f>'Расчет годовой выручки'!K16</f>
        <v>0</v>
      </c>
      <c r="N6" s="54">
        <f>'Расчет годовой выручки'!L16</f>
        <v>0</v>
      </c>
      <c r="O6" s="54">
        <f>'Расчет годовой выручки'!M16</f>
        <v>0</v>
      </c>
      <c r="P6" s="54">
        <f>'Расчет годовой выручки'!N16</f>
        <v>0</v>
      </c>
      <c r="Q6" s="54">
        <f>'Расчет годовой выручки'!O16</f>
        <v>0</v>
      </c>
      <c r="R6" s="54">
        <f>'Расчет годовой выручки'!P16</f>
        <v>0</v>
      </c>
      <c r="S6" s="54">
        <f>'Расчет годовой выручки'!Q16</f>
        <v>0</v>
      </c>
      <c r="T6" s="54">
        <f>'Расчет годовой выручки'!R16</f>
        <v>0</v>
      </c>
      <c r="U6" s="54">
        <f>'Расчет годовой выручки'!S16</f>
        <v>0</v>
      </c>
      <c r="V6" s="54">
        <f>'Расчет годовой выручки'!T16</f>
        <v>0</v>
      </c>
      <c r="W6" s="54">
        <f>'Расчет годовой выручки'!U16</f>
        <v>0</v>
      </c>
      <c r="X6" s="54">
        <f>'Расчет годовой выручки'!V16</f>
        <v>0</v>
      </c>
      <c r="Y6" s="54">
        <f>'Расчет годовой выручки'!W16</f>
        <v>0</v>
      </c>
      <c r="Z6" s="54">
        <f>'Расчет годовой выручки'!X16</f>
        <v>0</v>
      </c>
      <c r="AA6" s="54">
        <f>'Расчет годовой выручки'!Y16</f>
        <v>0</v>
      </c>
      <c r="AB6" s="54">
        <f>'Расчет годовой выручки'!Z16</f>
        <v>0</v>
      </c>
      <c r="AC6" s="54">
        <f>'Расчет годовой выручки'!AA16</f>
        <v>0</v>
      </c>
      <c r="AD6" s="54">
        <f>'Расчет годовой выручки'!AB16</f>
        <v>0</v>
      </c>
      <c r="AE6" s="54">
        <f>'Расчет годовой выручки'!AC16</f>
        <v>0</v>
      </c>
      <c r="AF6" s="54">
        <f>'Расчет годовой выручки'!AD16</f>
        <v>0</v>
      </c>
    </row>
    <row r="7" spans="2:32" ht="11.4" customHeight="1" thickTop="1" thickBot="1" x14ac:dyDescent="0.35">
      <c r="B7" s="22">
        <v>4</v>
      </c>
      <c r="C7" s="23" t="s">
        <v>76</v>
      </c>
      <c r="D7" s="25">
        <f t="shared" si="0"/>
        <v>67281.678673563147</v>
      </c>
      <c r="E7" s="54">
        <f>'Расчет годовой выручки'!C15</f>
        <v>14896.000000000002</v>
      </c>
      <c r="F7" s="54">
        <f>'Расчет годовой выручки'!D15</f>
        <v>13507.806200000001</v>
      </c>
      <c r="G7" s="54">
        <f>'Расчет годовой выручки'!E15</f>
        <v>11925.265268000003</v>
      </c>
      <c r="H7" s="54">
        <f>'Расчет годовой выручки'!F15</f>
        <v>10121.168605520003</v>
      </c>
      <c r="I7" s="54">
        <f>'Расчет годовой выручки'!G15</f>
        <v>8064.4984102928038</v>
      </c>
      <c r="J7" s="54">
        <f>'Расчет годовой выручки'!H15</f>
        <v>5719.894387733797</v>
      </c>
      <c r="K7" s="54">
        <f>'Расчет годовой выручки'!I15</f>
        <v>3047.0458020165279</v>
      </c>
      <c r="L7" s="54">
        <f>'Расчет годовой выручки'!J15</f>
        <v>0</v>
      </c>
      <c r="M7" s="54">
        <f>'Расчет годовой выручки'!K15</f>
        <v>0</v>
      </c>
      <c r="N7" s="54">
        <f>'Расчет годовой выручки'!L15</f>
        <v>0</v>
      </c>
      <c r="O7" s="54">
        <f>'Расчет годовой выручки'!M15</f>
        <v>0</v>
      </c>
      <c r="P7" s="54">
        <f>'Расчет годовой выручки'!N15</f>
        <v>0</v>
      </c>
      <c r="Q7" s="54">
        <f>'Расчет годовой выручки'!O15</f>
        <v>0</v>
      </c>
      <c r="R7" s="54">
        <f>'Расчет годовой выручки'!P15</f>
        <v>0</v>
      </c>
      <c r="S7" s="54">
        <f>'Расчет годовой выручки'!Q15</f>
        <v>0</v>
      </c>
      <c r="T7" s="54">
        <f>'Расчет годовой выручки'!R15</f>
        <v>0</v>
      </c>
      <c r="U7" s="54">
        <f>'Расчет годовой выручки'!S15</f>
        <v>0</v>
      </c>
      <c r="V7" s="54">
        <f>'Расчет годовой выручки'!T15</f>
        <v>0</v>
      </c>
      <c r="W7" s="54">
        <f>'Расчет годовой выручки'!U15</f>
        <v>0</v>
      </c>
      <c r="X7" s="54">
        <f>'Расчет годовой выручки'!V15</f>
        <v>0</v>
      </c>
      <c r="Y7" s="54">
        <f>'Расчет годовой выручки'!W15</f>
        <v>0</v>
      </c>
      <c r="Z7" s="54">
        <f>'Расчет годовой выручки'!X15</f>
        <v>0</v>
      </c>
      <c r="AA7" s="54">
        <f>'Расчет годовой выручки'!Y15</f>
        <v>0</v>
      </c>
      <c r="AB7" s="54">
        <f>'Расчет годовой выручки'!Z15</f>
        <v>0</v>
      </c>
      <c r="AC7" s="54">
        <f>'Расчет годовой выручки'!AA15</f>
        <v>0</v>
      </c>
      <c r="AD7" s="54">
        <f>'Расчет годовой выручки'!AB15</f>
        <v>0</v>
      </c>
      <c r="AE7" s="54">
        <f>'Расчет годовой выручки'!AC15</f>
        <v>0</v>
      </c>
      <c r="AF7" s="54">
        <f>'Расчет годовой выручки'!AD15</f>
        <v>0</v>
      </c>
    </row>
    <row r="8" spans="2:32" ht="14.4" customHeight="1" thickTop="1" thickBot="1" x14ac:dyDescent="0.35">
      <c r="B8" s="22">
        <v>5</v>
      </c>
      <c r="C8" s="23" t="s">
        <v>77</v>
      </c>
      <c r="D8" s="25">
        <f t="shared" si="0"/>
        <v>280081.68999999994</v>
      </c>
      <c r="E8" s="54">
        <f>E5+E6+E7</f>
        <v>56731.67</v>
      </c>
      <c r="F8" s="54">
        <f t="shared" ref="F8:AF8" si="1">F5+F6+F7</f>
        <v>67371.67</v>
      </c>
      <c r="G8" s="54">
        <f t="shared" si="1"/>
        <v>56731.67</v>
      </c>
      <c r="H8" s="54">
        <f t="shared" si="1"/>
        <v>24811.67</v>
      </c>
      <c r="I8" s="54">
        <f t="shared" si="1"/>
        <v>24811.67</v>
      </c>
      <c r="J8" s="54">
        <f t="shared" si="1"/>
        <v>24811.67</v>
      </c>
      <c r="K8" s="54">
        <f t="shared" si="1"/>
        <v>24811.67</v>
      </c>
      <c r="L8" s="54">
        <f t="shared" si="1"/>
        <v>0</v>
      </c>
      <c r="M8" s="54">
        <f t="shared" si="1"/>
        <v>0</v>
      </c>
      <c r="N8" s="54">
        <f t="shared" si="1"/>
        <v>0</v>
      </c>
      <c r="O8" s="54">
        <f t="shared" si="1"/>
        <v>0</v>
      </c>
      <c r="P8" s="54">
        <f t="shared" si="1"/>
        <v>0</v>
      </c>
      <c r="Q8" s="54">
        <f t="shared" si="1"/>
        <v>0</v>
      </c>
      <c r="R8" s="54">
        <f t="shared" si="1"/>
        <v>0</v>
      </c>
      <c r="S8" s="54">
        <f t="shared" si="1"/>
        <v>0</v>
      </c>
      <c r="T8" s="54">
        <f t="shared" si="1"/>
        <v>0</v>
      </c>
      <c r="U8" s="54">
        <f t="shared" si="1"/>
        <v>0</v>
      </c>
      <c r="V8" s="54">
        <f t="shared" si="1"/>
        <v>0</v>
      </c>
      <c r="W8" s="54">
        <f t="shared" si="1"/>
        <v>0</v>
      </c>
      <c r="X8" s="54">
        <f t="shared" si="1"/>
        <v>0</v>
      </c>
      <c r="Y8" s="54">
        <f t="shared" si="1"/>
        <v>0</v>
      </c>
      <c r="Z8" s="54">
        <f t="shared" si="1"/>
        <v>0</v>
      </c>
      <c r="AA8" s="54">
        <f t="shared" si="1"/>
        <v>0</v>
      </c>
      <c r="AB8" s="54">
        <f t="shared" si="1"/>
        <v>0</v>
      </c>
      <c r="AC8" s="54">
        <f t="shared" si="1"/>
        <v>0</v>
      </c>
      <c r="AD8" s="54">
        <f t="shared" si="1"/>
        <v>0</v>
      </c>
      <c r="AE8" s="54">
        <f t="shared" si="1"/>
        <v>0</v>
      </c>
      <c r="AF8" s="54">
        <f t="shared" si="1"/>
        <v>0</v>
      </c>
    </row>
    <row r="9" spans="2:32" ht="10.8" customHeight="1" thickTop="1" thickBot="1" x14ac:dyDescent="0.35">
      <c r="B9" s="22">
        <v>6</v>
      </c>
      <c r="C9" s="23" t="s">
        <v>78</v>
      </c>
      <c r="D9" s="25">
        <f t="shared" si="0"/>
        <v>-916650</v>
      </c>
      <c r="E9" s="26">
        <f>'Расчет годовой выручки'!C10</f>
        <v>0</v>
      </c>
      <c r="F9" s="26">
        <f>'Расчет годовой выручки'!D10</f>
        <v>0</v>
      </c>
      <c r="G9" s="26">
        <f>'Расчет годовой выручки'!E10</f>
        <v>0</v>
      </c>
      <c r="H9" s="26">
        <f>'Расчет годовой выручки'!F10</f>
        <v>-36666</v>
      </c>
      <c r="I9" s="26">
        <f>'Расчет годовой выручки'!G10</f>
        <v>-36666</v>
      </c>
      <c r="J9" s="26">
        <f>'Расчет годовой выручки'!H10</f>
        <v>-36666</v>
      </c>
      <c r="K9" s="26">
        <f>'Расчет годовой выручки'!I10</f>
        <v>-36666</v>
      </c>
      <c r="L9" s="26">
        <f>'Расчет годовой выручки'!J10</f>
        <v>-36666</v>
      </c>
      <c r="M9" s="26">
        <f>'Расчет годовой выручки'!K10</f>
        <v>-36666</v>
      </c>
      <c r="N9" s="26">
        <f>'Расчет годовой выручки'!L10</f>
        <v>-36666</v>
      </c>
      <c r="O9" s="26">
        <f>'Расчет годовой выручки'!M10</f>
        <v>-36666</v>
      </c>
      <c r="P9" s="26">
        <f>'Расчет годовой выручки'!N10</f>
        <v>-36666</v>
      </c>
      <c r="Q9" s="26">
        <f>'Расчет годовой выручки'!O10</f>
        <v>-36666</v>
      </c>
      <c r="R9" s="26">
        <f>'Расчет годовой выручки'!P10</f>
        <v>-36666</v>
      </c>
      <c r="S9" s="26">
        <f>'Расчет годовой выручки'!Q10</f>
        <v>-36666</v>
      </c>
      <c r="T9" s="26">
        <f>'Расчет годовой выручки'!R10</f>
        <v>-36666</v>
      </c>
      <c r="U9" s="26">
        <f>'Расчет годовой выручки'!S10</f>
        <v>-36666</v>
      </c>
      <c r="V9" s="26">
        <f>'Расчет годовой выручки'!T10</f>
        <v>-36666</v>
      </c>
      <c r="W9" s="26">
        <f>'Расчет годовой выручки'!U10</f>
        <v>-36666</v>
      </c>
      <c r="X9" s="26">
        <f>'Расчет годовой выручки'!V10</f>
        <v>-36666</v>
      </c>
      <c r="Y9" s="26">
        <f>'Расчет годовой выручки'!W10</f>
        <v>-36666</v>
      </c>
      <c r="Z9" s="26">
        <f>'Расчет годовой выручки'!X10</f>
        <v>-36666</v>
      </c>
      <c r="AA9" s="26">
        <f>'Расчет годовой выручки'!Y10</f>
        <v>-36666</v>
      </c>
      <c r="AB9" s="26">
        <f>'Расчет годовой выручки'!Z10</f>
        <v>-36666</v>
      </c>
      <c r="AC9" s="26">
        <f>'Расчет годовой выручки'!AA10</f>
        <v>-36666</v>
      </c>
      <c r="AD9" s="26">
        <f>'Расчет годовой выручки'!AB10</f>
        <v>-36666</v>
      </c>
      <c r="AE9" s="26">
        <f>'Расчет годовой выручки'!AC10</f>
        <v>-36666</v>
      </c>
      <c r="AF9" s="26">
        <f>'Расчет годовой выручки'!AD10</f>
        <v>-36666</v>
      </c>
    </row>
    <row r="10" spans="2:32" ht="12.6" customHeight="1" thickTop="1" thickBot="1" x14ac:dyDescent="0.35">
      <c r="B10" s="22">
        <v>7</v>
      </c>
      <c r="C10" s="23" t="s">
        <v>79</v>
      </c>
      <c r="D10" s="25">
        <f t="shared" si="0"/>
        <v>1846236.29</v>
      </c>
      <c r="E10" s="54">
        <f>E4-E8-E9</f>
        <v>-7063.3399999999965</v>
      </c>
      <c r="F10" s="54">
        <f t="shared" ref="F10:AF10" si="2">F4-F8-F9</f>
        <v>-134743.34</v>
      </c>
      <c r="G10" s="54">
        <f t="shared" si="2"/>
        <v>-113463.34</v>
      </c>
      <c r="H10" s="54">
        <f t="shared" si="2"/>
        <v>42376.33</v>
      </c>
      <c r="I10" s="54">
        <f t="shared" si="2"/>
        <v>42376.66</v>
      </c>
      <c r="J10" s="54">
        <f t="shared" si="2"/>
        <v>42376.66</v>
      </c>
      <c r="K10" s="54">
        <f t="shared" si="2"/>
        <v>42376.66</v>
      </c>
      <c r="L10" s="54">
        <f t="shared" si="2"/>
        <v>92000</v>
      </c>
      <c r="M10" s="54">
        <f t="shared" si="2"/>
        <v>92000</v>
      </c>
      <c r="N10" s="54">
        <f t="shared" si="2"/>
        <v>92000</v>
      </c>
      <c r="O10" s="54">
        <f t="shared" si="2"/>
        <v>92000</v>
      </c>
      <c r="P10" s="54">
        <f t="shared" si="2"/>
        <v>92000</v>
      </c>
      <c r="Q10" s="54">
        <f t="shared" si="2"/>
        <v>92000</v>
      </c>
      <c r="R10" s="54">
        <f t="shared" si="2"/>
        <v>92000</v>
      </c>
      <c r="S10" s="54">
        <f t="shared" si="2"/>
        <v>92000</v>
      </c>
      <c r="T10" s="54">
        <f t="shared" si="2"/>
        <v>92000</v>
      </c>
      <c r="U10" s="54">
        <f t="shared" si="2"/>
        <v>92000</v>
      </c>
      <c r="V10" s="54">
        <f t="shared" si="2"/>
        <v>92000</v>
      </c>
      <c r="W10" s="54">
        <f t="shared" si="2"/>
        <v>92000</v>
      </c>
      <c r="X10" s="54">
        <f t="shared" si="2"/>
        <v>92000</v>
      </c>
      <c r="Y10" s="54">
        <f t="shared" si="2"/>
        <v>92000</v>
      </c>
      <c r="Z10" s="54">
        <f t="shared" si="2"/>
        <v>92000</v>
      </c>
      <c r="AA10" s="54">
        <f t="shared" si="2"/>
        <v>92000</v>
      </c>
      <c r="AB10" s="54">
        <f t="shared" si="2"/>
        <v>92000</v>
      </c>
      <c r="AC10" s="54">
        <f t="shared" si="2"/>
        <v>92000</v>
      </c>
      <c r="AD10" s="54">
        <f t="shared" si="2"/>
        <v>92000</v>
      </c>
      <c r="AE10" s="54">
        <f t="shared" si="2"/>
        <v>92000</v>
      </c>
      <c r="AF10" s="54">
        <f t="shared" si="2"/>
        <v>92000</v>
      </c>
    </row>
    <row r="11" spans="2:32" ht="15" customHeight="1" thickTop="1" thickBot="1" x14ac:dyDescent="0.35">
      <c r="B11" s="22">
        <v>8</v>
      </c>
      <c r="C11" s="23" t="s">
        <v>80</v>
      </c>
      <c r="D11" s="25">
        <f t="shared" si="0"/>
        <v>25470287.609999996</v>
      </c>
      <c r="E11" s="54">
        <f>E10</f>
        <v>-7063.3399999999965</v>
      </c>
      <c r="F11" s="54">
        <f>7063.34-134743.34</f>
        <v>-127680</v>
      </c>
      <c r="G11" s="54">
        <f>127680-113463.34</f>
        <v>14216.660000000003</v>
      </c>
      <c r="H11" s="54">
        <f>G11+H10</f>
        <v>56592.990000000005</v>
      </c>
      <c r="I11" s="54">
        <f t="shared" ref="I11:L11" si="3">H11+I10</f>
        <v>98969.650000000009</v>
      </c>
      <c r="J11" s="54">
        <f t="shared" si="3"/>
        <v>141346.31</v>
      </c>
      <c r="K11" s="54">
        <f t="shared" si="3"/>
        <v>183722.97</v>
      </c>
      <c r="L11" s="54">
        <f t="shared" si="3"/>
        <v>275722.96999999997</v>
      </c>
      <c r="M11" s="54">
        <f t="shared" ref="M11" si="4">L11+M10</f>
        <v>367722.97</v>
      </c>
      <c r="N11" s="54">
        <f t="shared" ref="N11" si="5">M11+N10</f>
        <v>459722.97</v>
      </c>
      <c r="O11" s="54">
        <f t="shared" ref="O11" si="6">N11+O10</f>
        <v>551722.97</v>
      </c>
      <c r="P11" s="54">
        <f t="shared" ref="P11" si="7">O11+P10</f>
        <v>643722.97</v>
      </c>
      <c r="Q11" s="54">
        <f t="shared" ref="Q11" si="8">P11+Q10</f>
        <v>735722.97</v>
      </c>
      <c r="R11" s="54">
        <f t="shared" ref="R11" si="9">Q11+R10</f>
        <v>827722.97</v>
      </c>
      <c r="S11" s="54">
        <f t="shared" ref="S11" si="10">R11+S10</f>
        <v>919722.97</v>
      </c>
      <c r="T11" s="54">
        <f t="shared" ref="T11" si="11">S11+T10</f>
        <v>1011722.97</v>
      </c>
      <c r="U11" s="54">
        <f t="shared" ref="U11" si="12">T11+U10</f>
        <v>1103722.97</v>
      </c>
      <c r="V11" s="54">
        <f t="shared" ref="V11" si="13">U11+V10</f>
        <v>1195722.97</v>
      </c>
      <c r="W11" s="54">
        <f t="shared" ref="W11" si="14">V11+W10</f>
        <v>1287722.97</v>
      </c>
      <c r="X11" s="54">
        <f t="shared" ref="X11" si="15">W11+X10</f>
        <v>1379722.97</v>
      </c>
      <c r="Y11" s="54">
        <f t="shared" ref="Y11" si="16">X11+Y10</f>
        <v>1471722.97</v>
      </c>
      <c r="Z11" s="54">
        <f t="shared" ref="Z11" si="17">Y11+Z10</f>
        <v>1563722.97</v>
      </c>
      <c r="AA11" s="54">
        <f t="shared" ref="AA11" si="18">Z11+AA10</f>
        <v>1655722.97</v>
      </c>
      <c r="AB11" s="54">
        <f t="shared" ref="AB11" si="19">AA11+AB10</f>
        <v>1747722.97</v>
      </c>
      <c r="AC11" s="54">
        <f t="shared" ref="AC11" si="20">AB11+AC10</f>
        <v>1839722.97</v>
      </c>
      <c r="AD11" s="54">
        <f t="shared" ref="AD11" si="21">AC11+AD10</f>
        <v>1931722.97</v>
      </c>
      <c r="AE11" s="54">
        <f t="shared" ref="AE11" si="22">AD11+AE10</f>
        <v>2023722.97</v>
      </c>
      <c r="AF11" s="54">
        <f t="shared" ref="AF11" si="23">AE11+AF10</f>
        <v>2115722.9699999997</v>
      </c>
    </row>
    <row r="12" spans="2:32" ht="11.4" customHeight="1" thickTop="1" thickBot="1" x14ac:dyDescent="0.35">
      <c r="B12" s="22">
        <v>9</v>
      </c>
      <c r="C12" s="23" t="s">
        <v>81</v>
      </c>
      <c r="D12" s="25">
        <f t="shared" si="0"/>
        <v>211832.17207192208</v>
      </c>
      <c r="E12" s="57">
        <f>E10/(1+$D$20)^E2</f>
        <v>-6306.5535714285679</v>
      </c>
      <c r="F12" s="57">
        <f>F10/(1+$D$20)^F2</f>
        <v>-107416.56568877549</v>
      </c>
      <c r="G12" s="57">
        <f t="shared" ref="G12:AF12" si="24">G10/(1+$D$20)^G2</f>
        <v>-80760.964262937297</v>
      </c>
      <c r="H12" s="57">
        <f t="shared" si="24"/>
        <v>26930.923811449</v>
      </c>
      <c r="I12" s="57">
        <f t="shared" si="24"/>
        <v>24045.654939656139</v>
      </c>
      <c r="J12" s="57">
        <f t="shared" si="24"/>
        <v>21469.334767550121</v>
      </c>
      <c r="K12" s="57">
        <f t="shared" si="24"/>
        <v>19169.048899598321</v>
      </c>
      <c r="L12" s="57">
        <f t="shared" si="24"/>
        <v>37157.256974101962</v>
      </c>
      <c r="M12" s="57">
        <f t="shared" si="24"/>
        <v>33176.122298305323</v>
      </c>
      <c r="N12" s="57">
        <f t="shared" si="24"/>
        <v>29621.537766344034</v>
      </c>
      <c r="O12" s="57">
        <f t="shared" si="24"/>
        <v>26447.801577092883</v>
      </c>
      <c r="P12" s="57">
        <f t="shared" si="24"/>
        <v>23614.10855097579</v>
      </c>
      <c r="Q12" s="57">
        <f t="shared" si="24"/>
        <v>21084.025491942666</v>
      </c>
      <c r="R12" s="57">
        <f t="shared" si="24"/>
        <v>18825.022760663094</v>
      </c>
      <c r="S12" s="57">
        <f t="shared" si="24"/>
        <v>16808.056036306334</v>
      </c>
      <c r="T12" s="57">
        <f t="shared" si="24"/>
        <v>15007.192889559225</v>
      </c>
      <c r="U12" s="57">
        <f t="shared" si="24"/>
        <v>13399.279365677878</v>
      </c>
      <c r="V12" s="57">
        <f t="shared" si="24"/>
        <v>11963.642290783819</v>
      </c>
      <c r="W12" s="57">
        <f t="shared" si="24"/>
        <v>10681.823473914123</v>
      </c>
      <c r="X12" s="57">
        <f t="shared" si="24"/>
        <v>9537.3423874233231</v>
      </c>
      <c r="Y12" s="57">
        <f t="shared" si="24"/>
        <v>8515.4842744851103</v>
      </c>
      <c r="Z12" s="57">
        <f t="shared" si="24"/>
        <v>7603.1109593617039</v>
      </c>
      <c r="AA12" s="57">
        <f t="shared" si="24"/>
        <v>6788.491928001522</v>
      </c>
      <c r="AB12" s="57">
        <f t="shared" si="24"/>
        <v>6061.1535071442158</v>
      </c>
      <c r="AC12" s="57">
        <f t="shared" si="24"/>
        <v>5411.7442028073347</v>
      </c>
      <c r="AD12" s="57">
        <f t="shared" si="24"/>
        <v>4831.9144667922628</v>
      </c>
      <c r="AE12" s="57">
        <f t="shared" si="24"/>
        <v>4314.2093453502339</v>
      </c>
      <c r="AF12" s="57">
        <f t="shared" si="24"/>
        <v>3851.9726297769948</v>
      </c>
    </row>
    <row r="13" spans="2:32" ht="11.4" customHeight="1" thickTop="1" thickBot="1" x14ac:dyDescent="0.35">
      <c r="B13" s="22">
        <v>10</v>
      </c>
      <c r="C13" s="23" t="s">
        <v>82</v>
      </c>
      <c r="D13" s="25"/>
      <c r="E13" s="58">
        <f>IRR(E10:AF10)</f>
        <v>0.22182688896468061</v>
      </c>
      <c r="F13" s="26"/>
      <c r="G13" s="26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</row>
    <row r="14" spans="2:32" ht="11.4" customHeight="1" thickTop="1" thickBot="1" x14ac:dyDescent="0.35">
      <c r="B14" s="22">
        <v>11</v>
      </c>
      <c r="C14" s="23" t="s">
        <v>83</v>
      </c>
      <c r="D14" s="25">
        <f t="shared" si="0"/>
        <v>6189702.0461619254</v>
      </c>
      <c r="E14" s="57">
        <f>E12</f>
        <v>-6306.5535714285679</v>
      </c>
      <c r="F14" s="57">
        <f>6306.55-107416.57</f>
        <v>-101110.02</v>
      </c>
      <c r="G14" s="57">
        <f>80760.96-101110.02</f>
        <v>-20349.059999999998</v>
      </c>
      <c r="H14" s="57">
        <f>H12+G14</f>
        <v>6581.8638114490022</v>
      </c>
      <c r="I14" s="57">
        <f>I12+H14</f>
        <v>30627.518751105141</v>
      </c>
      <c r="J14" s="57">
        <f t="shared" ref="J14:AF14" si="25">J12+I14</f>
        <v>52096.853518655262</v>
      </c>
      <c r="K14" s="57">
        <f t="shared" si="25"/>
        <v>71265.90241825358</v>
      </c>
      <c r="L14" s="57">
        <f t="shared" si="25"/>
        <v>108423.15939235553</v>
      </c>
      <c r="M14" s="57">
        <f t="shared" si="25"/>
        <v>141599.28169066086</v>
      </c>
      <c r="N14" s="57">
        <f t="shared" si="25"/>
        <v>171220.81945700489</v>
      </c>
      <c r="O14" s="57">
        <f t="shared" si="25"/>
        <v>197668.62103409777</v>
      </c>
      <c r="P14" s="57">
        <f t="shared" si="25"/>
        <v>221282.72958507357</v>
      </c>
      <c r="Q14" s="57">
        <f t="shared" si="25"/>
        <v>242366.75507701625</v>
      </c>
      <c r="R14" s="57">
        <f t="shared" si="25"/>
        <v>261191.77783767934</v>
      </c>
      <c r="S14" s="57">
        <f t="shared" si="25"/>
        <v>277999.83387398568</v>
      </c>
      <c r="T14" s="57">
        <f>T12+S14</f>
        <v>293007.02676354488</v>
      </c>
      <c r="U14" s="57">
        <f t="shared" si="25"/>
        <v>306406.30612922274</v>
      </c>
      <c r="V14" s="57">
        <f t="shared" si="25"/>
        <v>318369.94842000655</v>
      </c>
      <c r="W14" s="57">
        <f t="shared" si="25"/>
        <v>329051.77189392067</v>
      </c>
      <c r="X14" s="57">
        <f t="shared" si="25"/>
        <v>338589.11428134399</v>
      </c>
      <c r="Y14" s="57">
        <f t="shared" si="25"/>
        <v>347104.59855582908</v>
      </c>
      <c r="Z14" s="57">
        <f t="shared" si="25"/>
        <v>354707.7095151908</v>
      </c>
      <c r="AA14" s="57">
        <f t="shared" si="25"/>
        <v>361496.20144319232</v>
      </c>
      <c r="AB14" s="57">
        <f t="shared" si="25"/>
        <v>367557.35495033651</v>
      </c>
      <c r="AC14" s="57">
        <f t="shared" si="25"/>
        <v>372969.09915314382</v>
      </c>
      <c r="AD14" s="57">
        <f t="shared" si="25"/>
        <v>377801.01361993607</v>
      </c>
      <c r="AE14" s="57">
        <f t="shared" si="25"/>
        <v>382115.22296528629</v>
      </c>
      <c r="AF14" s="57">
        <f t="shared" si="25"/>
        <v>385967.19559506327</v>
      </c>
    </row>
    <row r="15" spans="2:32" ht="11.4" customHeight="1" thickTop="1" thickBot="1" x14ac:dyDescent="0.35">
      <c r="B15" s="22">
        <v>12</v>
      </c>
      <c r="C15" s="23" t="s">
        <v>84</v>
      </c>
      <c r="D15" s="61">
        <f>D8/AVERAGE(E10:AF10)</f>
        <v>4.2477159410619088</v>
      </c>
      <c r="E15" s="26"/>
      <c r="F15" s="26"/>
      <c r="G15" s="26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</row>
    <row r="16" spans="2:32" ht="11.4" customHeight="1" thickTop="1" thickBot="1" x14ac:dyDescent="0.35">
      <c r="B16" s="22">
        <v>13</v>
      </c>
      <c r="C16" s="23" t="s">
        <v>85</v>
      </c>
      <c r="D16" s="61">
        <v>15</v>
      </c>
      <c r="E16" s="26"/>
      <c r="F16" s="26"/>
      <c r="G16" s="26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</row>
    <row r="17" spans="3:4" ht="11.4" customHeight="1" x14ac:dyDescent="0.3"/>
    <row r="19" spans="3:4" ht="15" thickBot="1" x14ac:dyDescent="0.35"/>
    <row r="20" spans="3:4" ht="15.6" thickTop="1" thickBot="1" x14ac:dyDescent="0.35">
      <c r="C20" s="56" t="s">
        <v>57</v>
      </c>
      <c r="D20" s="55">
        <v>0.12</v>
      </c>
    </row>
    <row r="21" spans="3:4" ht="15.6" thickTop="1" thickBot="1" x14ac:dyDescent="0.35">
      <c r="C21" s="59" t="s">
        <v>107</v>
      </c>
      <c r="D21" s="60">
        <f>NPV(D20,E10:AF10)</f>
        <v>211832.17207192196</v>
      </c>
    </row>
    <row r="22" spans="3:4" ht="15.6" thickTop="1" thickBot="1" x14ac:dyDescent="0.35">
      <c r="C22" s="56" t="s">
        <v>82</v>
      </c>
      <c r="D22" s="55">
        <f>IRR(E10:AF10)</f>
        <v>0.22182688896468061</v>
      </c>
    </row>
    <row r="23" spans="3:4" ht="15" thickTop="1" x14ac:dyDescent="0.3"/>
  </sheetData>
  <mergeCells count="30">
    <mergeCell ref="H2:H3"/>
    <mergeCell ref="B2:B3"/>
    <mergeCell ref="D2:D3"/>
    <mergeCell ref="E2:E3"/>
    <mergeCell ref="F2:F3"/>
    <mergeCell ref="G2:G3"/>
    <mergeCell ref="T2:T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AF2:AF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workbookViewId="0">
      <selection activeCell="E8" sqref="E8"/>
    </sheetView>
  </sheetViews>
  <sheetFormatPr defaultColWidth="9.109375" defaultRowHeight="14.4" x14ac:dyDescent="0.3"/>
  <cols>
    <col min="1" max="1" width="19.109375" style="73" bestFit="1" customWidth="1"/>
    <col min="2" max="2" width="11.33203125" style="73" bestFit="1" customWidth="1"/>
    <col min="3" max="3" width="10" style="73" bestFit="1" customWidth="1"/>
    <col min="4" max="4" width="9.109375" style="73"/>
    <col min="5" max="5" width="18.33203125" style="73" customWidth="1"/>
    <col min="6" max="6" width="27.5546875" style="73" customWidth="1"/>
    <col min="7" max="16384" width="9.109375" style="73"/>
  </cols>
  <sheetData>
    <row r="1" spans="1:6" x14ac:dyDescent="0.3">
      <c r="B1" s="82" t="s">
        <v>116</v>
      </c>
      <c r="C1" s="82" t="s">
        <v>115</v>
      </c>
      <c r="E1" s="73" t="s">
        <v>114</v>
      </c>
      <c r="F1" s="80">
        <v>-1000000</v>
      </c>
    </row>
    <row r="2" spans="1:6" x14ac:dyDescent="0.3">
      <c r="A2" s="73" t="s">
        <v>110</v>
      </c>
      <c r="B2" s="80">
        <f>$F$1*(1+$F$2)</f>
        <v>-1000000</v>
      </c>
      <c r="C2" s="74">
        <v>44197</v>
      </c>
      <c r="E2" s="73" t="s">
        <v>113</v>
      </c>
      <c r="F2" s="81">
        <v>0</v>
      </c>
    </row>
    <row r="3" spans="1:6" x14ac:dyDescent="0.3">
      <c r="A3" s="73" t="s">
        <v>110</v>
      </c>
      <c r="B3" s="80">
        <f>$F$1*(1+$F$2)</f>
        <v>-1000000</v>
      </c>
      <c r="C3" s="74">
        <f>C2+365.25/12</f>
        <v>44227.4375</v>
      </c>
      <c r="E3" s="73" t="s">
        <v>112</v>
      </c>
      <c r="F3" s="75">
        <v>250000</v>
      </c>
    </row>
    <row r="4" spans="1:6" x14ac:dyDescent="0.3">
      <c r="A4" s="73" t="s">
        <v>110</v>
      </c>
      <c r="B4" s="80">
        <f>$F$1*(1+$F$2)</f>
        <v>-1000000</v>
      </c>
      <c r="C4" s="74">
        <f>C3+365.25/12</f>
        <v>44257.875</v>
      </c>
      <c r="E4" s="73" t="s">
        <v>111</v>
      </c>
      <c r="F4" s="81">
        <v>0</v>
      </c>
    </row>
    <row r="5" spans="1:6" x14ac:dyDescent="0.3">
      <c r="A5" s="73" t="s">
        <v>110</v>
      </c>
      <c r="B5" s="80">
        <f>$F$1*(1+$F$2)</f>
        <v>-1000000</v>
      </c>
      <c r="C5" s="74">
        <f>C4+365.25/12</f>
        <v>44288.3125</v>
      </c>
      <c r="F5" s="73" t="s">
        <v>109</v>
      </c>
    </row>
    <row r="6" spans="1:6" x14ac:dyDescent="0.3">
      <c r="A6" s="73" t="s">
        <v>110</v>
      </c>
      <c r="B6" s="80">
        <f>$F$1*(1+$F$2)</f>
        <v>-1000000</v>
      </c>
      <c r="C6" s="74">
        <f>C5+365.25/12</f>
        <v>44318.75</v>
      </c>
      <c r="E6" s="73" t="str">
        <f>E2</f>
        <v>Рост инвестиций</v>
      </c>
      <c r="F6" s="78">
        <f>XIRR(B2:B37,C2:C37)</f>
        <v>0.16479981541633604</v>
      </c>
    </row>
    <row r="7" spans="1:6" x14ac:dyDescent="0.3">
      <c r="A7" s="73" t="s">
        <v>110</v>
      </c>
      <c r="B7" s="80">
        <f>$F$1*(1+$F$2)</f>
        <v>-1000000</v>
      </c>
      <c r="C7" s="74">
        <f>C6+365.25/12</f>
        <v>44349.1875</v>
      </c>
      <c r="E7" s="76">
        <v>-0.2</v>
      </c>
      <c r="F7" s="79">
        <f t="dataTable" ref="F7:F17" dt2D="0" dtr="0" r1="F2" ca="1"/>
        <v>0.36843951344490056</v>
      </c>
    </row>
    <row r="8" spans="1:6" x14ac:dyDescent="0.3">
      <c r="A8" s="73" t="s">
        <v>108</v>
      </c>
      <c r="B8" s="75">
        <f>$F$3*(1+$F$4)</f>
        <v>250000</v>
      </c>
      <c r="C8" s="74">
        <f>C7+365.25/12</f>
        <v>44379.625</v>
      </c>
      <c r="E8" s="76">
        <f>E7+10%</f>
        <v>-0.1</v>
      </c>
      <c r="F8" s="79">
        <v>0.25542986989021288</v>
      </c>
    </row>
    <row r="9" spans="1:6" x14ac:dyDescent="0.3">
      <c r="A9" s="73" t="s">
        <v>108</v>
      </c>
      <c r="B9" s="75">
        <f>$F$3*(1+$F$4)</f>
        <v>250000</v>
      </c>
      <c r="C9" s="74">
        <f>C8+365.25/12</f>
        <v>44410.0625</v>
      </c>
      <c r="E9" s="76">
        <f>E8+5%</f>
        <v>-0.05</v>
      </c>
      <c r="F9" s="79">
        <v>0.2077758491039276</v>
      </c>
    </row>
    <row r="10" spans="1:6" x14ac:dyDescent="0.3">
      <c r="A10" s="73" t="s">
        <v>108</v>
      </c>
      <c r="B10" s="75">
        <f>$F$3*(1+$F$4)</f>
        <v>250000</v>
      </c>
      <c r="C10" s="74">
        <f>C9+365.25/12</f>
        <v>44440.5</v>
      </c>
      <c r="E10" s="76">
        <f>E9+2%</f>
        <v>-3.0000000000000002E-2</v>
      </c>
      <c r="F10" s="79">
        <v>0.19006595015525815</v>
      </c>
    </row>
    <row r="11" spans="1:6" x14ac:dyDescent="0.3">
      <c r="A11" s="73" t="s">
        <v>108</v>
      </c>
      <c r="B11" s="75">
        <f>$F$3*(1+$F$4)</f>
        <v>250000</v>
      </c>
      <c r="C11" s="74">
        <f>C10+365.25/12</f>
        <v>44470.9375</v>
      </c>
      <c r="E11" s="76">
        <f>E10+2%</f>
        <v>-1.0000000000000002E-2</v>
      </c>
      <c r="F11" s="79">
        <v>0.17305591702461245</v>
      </c>
    </row>
    <row r="12" spans="1:6" x14ac:dyDescent="0.3">
      <c r="A12" s="73" t="s">
        <v>108</v>
      </c>
      <c r="B12" s="75">
        <f>$F$3*(1+$F$4)</f>
        <v>250000</v>
      </c>
      <c r="C12" s="74">
        <f>C11+365.25/12</f>
        <v>44501.375</v>
      </c>
      <c r="E12" s="76">
        <f>E11+2%</f>
        <v>9.9999999999999985E-3</v>
      </c>
      <c r="F12" s="79">
        <v>0.15670289397239689</v>
      </c>
    </row>
    <row r="13" spans="1:6" x14ac:dyDescent="0.3">
      <c r="A13" s="73" t="s">
        <v>108</v>
      </c>
      <c r="B13" s="75">
        <f>$F$3*(1+$F$4)</f>
        <v>250000</v>
      </c>
      <c r="C13" s="74">
        <f>C12+365.25/12</f>
        <v>44531.8125</v>
      </c>
      <c r="E13" s="76">
        <f>E12+2%</f>
        <v>0.03</v>
      </c>
      <c r="F13" s="79">
        <v>0.14096751809120181</v>
      </c>
    </row>
    <row r="14" spans="1:6" x14ac:dyDescent="0.3">
      <c r="A14" s="73" t="s">
        <v>108</v>
      </c>
      <c r="B14" s="75">
        <f>$F$3*(1+$F$4)</f>
        <v>250000</v>
      </c>
      <c r="C14" s="74">
        <f>C13+365.25/12</f>
        <v>44562.25</v>
      </c>
      <c r="E14" s="76">
        <f>E13+2%</f>
        <v>0.05</v>
      </c>
      <c r="F14" s="79">
        <v>0.12581356167793276</v>
      </c>
    </row>
    <row r="15" spans="1:6" x14ac:dyDescent="0.3">
      <c r="A15" s="73" t="s">
        <v>108</v>
      </c>
      <c r="B15" s="75">
        <f>$F$3*(1+$F$4)</f>
        <v>250000</v>
      </c>
      <c r="C15" s="74">
        <f>C14+365.25/12</f>
        <v>44592.6875</v>
      </c>
      <c r="E15" s="76">
        <f>E14+2%</f>
        <v>7.0000000000000007E-2</v>
      </c>
      <c r="F15" s="79">
        <v>0.11120763421058655</v>
      </c>
    </row>
    <row r="16" spans="1:6" x14ac:dyDescent="0.3">
      <c r="A16" s="73" t="s">
        <v>108</v>
      </c>
      <c r="B16" s="75">
        <f>$F$3*(1+$F$4)</f>
        <v>250000</v>
      </c>
      <c r="C16" s="74">
        <f>C15+365.25/12</f>
        <v>44623.125</v>
      </c>
      <c r="E16" s="76">
        <f>E15+2%</f>
        <v>9.0000000000000011E-2</v>
      </c>
      <c r="F16" s="79">
        <v>9.7118884325027466E-2</v>
      </c>
    </row>
    <row r="17" spans="1:6" x14ac:dyDescent="0.3">
      <c r="A17" s="73" t="s">
        <v>108</v>
      </c>
      <c r="B17" s="75">
        <f>$F$3*(1+$F$4)</f>
        <v>250000</v>
      </c>
      <c r="C17" s="74">
        <f>C16+365.25/12</f>
        <v>44653.5625</v>
      </c>
      <c r="E17" s="76">
        <f>E16+2%</f>
        <v>0.11000000000000001</v>
      </c>
      <c r="F17" s="79">
        <v>8.3518782258033761E-2</v>
      </c>
    </row>
    <row r="18" spans="1:6" x14ac:dyDescent="0.3">
      <c r="A18" s="73" t="s">
        <v>108</v>
      </c>
      <c r="B18" s="75">
        <f>$F$3*(1+$F$4)</f>
        <v>250000</v>
      </c>
      <c r="C18" s="74">
        <f>C17+365.25/12</f>
        <v>44684</v>
      </c>
      <c r="E18" s="76"/>
    </row>
    <row r="19" spans="1:6" x14ac:dyDescent="0.3">
      <c r="A19" s="73" t="s">
        <v>108</v>
      </c>
      <c r="B19" s="75">
        <f>$F$3*(1+$F$4)</f>
        <v>250000</v>
      </c>
      <c r="C19" s="74">
        <f>C18+365.25/12</f>
        <v>44714.4375</v>
      </c>
    </row>
    <row r="20" spans="1:6" x14ac:dyDescent="0.3">
      <c r="A20" s="73" t="s">
        <v>108</v>
      </c>
      <c r="B20" s="75">
        <f>$F$3*(1+$F$4)</f>
        <v>250000</v>
      </c>
      <c r="C20" s="74">
        <f>C19+365.25/12</f>
        <v>44744.875</v>
      </c>
    </row>
    <row r="21" spans="1:6" x14ac:dyDescent="0.3">
      <c r="A21" s="73" t="s">
        <v>108</v>
      </c>
      <c r="B21" s="75">
        <f>$F$3*(1+$F$4)</f>
        <v>250000</v>
      </c>
      <c r="C21" s="74">
        <f>C20+365.25/12</f>
        <v>44775.3125</v>
      </c>
      <c r="F21" s="73" t="s">
        <v>109</v>
      </c>
    </row>
    <row r="22" spans="1:6" x14ac:dyDescent="0.3">
      <c r="A22" s="73" t="s">
        <v>108</v>
      </c>
      <c r="B22" s="75">
        <f>$F$3*(1+$F$4)</f>
        <v>250000</v>
      </c>
      <c r="C22" s="74">
        <f>C21+365.25/12</f>
        <v>44805.75</v>
      </c>
      <c r="E22" s="73" t="str">
        <f>E4</f>
        <v>Рост доходов</v>
      </c>
      <c r="F22" s="78">
        <f>XIRR(B2:B37,C2:C37)</f>
        <v>0.16479981541633604</v>
      </c>
    </row>
    <row r="23" spans="1:6" x14ac:dyDescent="0.3">
      <c r="A23" s="73" t="s">
        <v>108</v>
      </c>
      <c r="B23" s="75">
        <f>$F$3*(1+$F$4)</f>
        <v>250000</v>
      </c>
      <c r="C23" s="74">
        <f>C22+365.25/12</f>
        <v>44836.1875</v>
      </c>
      <c r="E23" s="76">
        <v>-0.4</v>
      </c>
      <c r="F23" s="77">
        <f t="dataTable" ref="F23:F31" dt2D="0" dtr="0" r1="F4"/>
        <v>-0.16965652890503405</v>
      </c>
    </row>
    <row r="24" spans="1:6" x14ac:dyDescent="0.3">
      <c r="A24" s="73" t="s">
        <v>108</v>
      </c>
      <c r="B24" s="75">
        <f>$F$3*(1+$F$4)</f>
        <v>250000</v>
      </c>
      <c r="C24" s="74">
        <f>C23+365.25/12</f>
        <v>44866.625</v>
      </c>
      <c r="E24" s="76">
        <f>E23+10%</f>
        <v>-0.30000000000000004</v>
      </c>
      <c r="F24" s="77">
        <v>-8.395028263330459E-2</v>
      </c>
    </row>
    <row r="25" spans="1:6" x14ac:dyDescent="0.3">
      <c r="A25" s="73" t="s">
        <v>108</v>
      </c>
      <c r="B25" s="75">
        <f>$F$3*(1+$F$4)</f>
        <v>250000</v>
      </c>
      <c r="C25" s="74">
        <f>C24+365.25/12</f>
        <v>44897.0625</v>
      </c>
      <c r="E25" s="76">
        <f>E24+10%</f>
        <v>-0.20000000000000004</v>
      </c>
      <c r="F25" s="77">
        <v>-1.4901161193847657E-9</v>
      </c>
    </row>
    <row r="26" spans="1:6" x14ac:dyDescent="0.3">
      <c r="A26" s="73" t="s">
        <v>108</v>
      </c>
      <c r="B26" s="75">
        <f>$F$3*(1+$F$4)</f>
        <v>250000</v>
      </c>
      <c r="C26" s="74">
        <f>C25+365.25/12</f>
        <v>44927.5</v>
      </c>
      <c r="E26" s="76">
        <f>E25+10%</f>
        <v>-0.10000000000000003</v>
      </c>
      <c r="F26" s="77">
        <v>8.2777002453804052E-2</v>
      </c>
    </row>
    <row r="27" spans="1:6" x14ac:dyDescent="0.3">
      <c r="A27" s="73" t="s">
        <v>108</v>
      </c>
      <c r="B27" s="75">
        <f>$F$3*(1+$F$4)</f>
        <v>250000</v>
      </c>
      <c r="C27" s="74">
        <f>C26+365.25/12</f>
        <v>44957.9375</v>
      </c>
      <c r="E27" s="76">
        <f>E26+10%</f>
        <v>0</v>
      </c>
      <c r="F27" s="77">
        <v>0.16479981541633604</v>
      </c>
    </row>
    <row r="28" spans="1:6" x14ac:dyDescent="0.3">
      <c r="A28" s="73" t="s">
        <v>108</v>
      </c>
      <c r="B28" s="75">
        <f>$F$3*(1+$F$4)</f>
        <v>250000</v>
      </c>
      <c r="C28" s="74">
        <f>C27+365.25/12</f>
        <v>44988.375</v>
      </c>
      <c r="E28" s="76">
        <f>E27+10%</f>
        <v>0.1</v>
      </c>
      <c r="F28" s="77">
        <v>0.24638145565986638</v>
      </c>
    </row>
    <row r="29" spans="1:6" x14ac:dyDescent="0.3">
      <c r="A29" s="73" t="s">
        <v>108</v>
      </c>
      <c r="B29" s="75">
        <f>$F$3*(1+$F$4)</f>
        <v>250000</v>
      </c>
      <c r="C29" s="74">
        <f>C28+365.25/12</f>
        <v>45018.8125</v>
      </c>
      <c r="E29" s="76">
        <f>E28+10%</f>
        <v>0.2</v>
      </c>
      <c r="F29" s="77">
        <v>0.32776289582252505</v>
      </c>
    </row>
    <row r="30" spans="1:6" x14ac:dyDescent="0.3">
      <c r="A30" s="73" t="s">
        <v>108</v>
      </c>
      <c r="B30" s="75">
        <f>$F$3*(1+$F$4)</f>
        <v>250000</v>
      </c>
      <c r="C30" s="74">
        <f>C29+365.25/12</f>
        <v>45049.25</v>
      </c>
      <c r="E30" s="76">
        <f>E29+10%</f>
        <v>0.30000000000000004</v>
      </c>
      <c r="F30" s="77">
        <v>0.40913421511650094</v>
      </c>
    </row>
    <row r="31" spans="1:6" x14ac:dyDescent="0.3">
      <c r="A31" s="73" t="s">
        <v>108</v>
      </c>
      <c r="B31" s="75">
        <f>$F$3*(1+$F$4)</f>
        <v>250000</v>
      </c>
      <c r="C31" s="74">
        <f>C30+365.25/12</f>
        <v>45079.6875</v>
      </c>
      <c r="E31" s="76">
        <f>E30+10%</f>
        <v>0.4</v>
      </c>
      <c r="F31" s="77">
        <v>0.49064849019050594</v>
      </c>
    </row>
    <row r="32" spans="1:6" x14ac:dyDescent="0.3">
      <c r="A32" s="73" t="s">
        <v>108</v>
      </c>
      <c r="B32" s="75">
        <f>$F$3*(1+$F$4)</f>
        <v>250000</v>
      </c>
      <c r="C32" s="74">
        <f>C31+365.25/12</f>
        <v>45110.125</v>
      </c>
      <c r="F32" s="77"/>
    </row>
    <row r="33" spans="1:6" x14ac:dyDescent="0.3">
      <c r="A33" s="73" t="s">
        <v>108</v>
      </c>
      <c r="B33" s="75">
        <f>$F$3*(1+$F$4)</f>
        <v>250000</v>
      </c>
      <c r="C33" s="74">
        <f>C32+365.25/12</f>
        <v>45140.5625</v>
      </c>
      <c r="E33" s="76"/>
      <c r="F33" s="77"/>
    </row>
    <row r="34" spans="1:6" x14ac:dyDescent="0.3">
      <c r="A34" s="73" t="s">
        <v>108</v>
      </c>
      <c r="B34" s="75">
        <f>$F$3*(1+$F$4)</f>
        <v>250000</v>
      </c>
      <c r="C34" s="74">
        <f>C33+365.25/12</f>
        <v>45171</v>
      </c>
      <c r="E34" s="76"/>
    </row>
    <row r="35" spans="1:6" x14ac:dyDescent="0.3">
      <c r="A35" s="73" t="s">
        <v>108</v>
      </c>
      <c r="B35" s="75">
        <f>$F$3*(1+$F$4)</f>
        <v>250000</v>
      </c>
      <c r="C35" s="74">
        <f>C34+365.25/12</f>
        <v>45201.4375</v>
      </c>
      <c r="E35" s="76"/>
    </row>
    <row r="36" spans="1:6" x14ac:dyDescent="0.3">
      <c r="A36" s="73" t="s">
        <v>108</v>
      </c>
      <c r="B36" s="75">
        <f>$F$3*(1+$F$4)</f>
        <v>250000</v>
      </c>
      <c r="C36" s="74">
        <f>C35+365.25/12</f>
        <v>45231.875</v>
      </c>
    </row>
    <row r="37" spans="1:6" x14ac:dyDescent="0.3">
      <c r="A37" s="73" t="s">
        <v>108</v>
      </c>
      <c r="B37" s="75">
        <f>$F$3*(1+$F$4)</f>
        <v>250000</v>
      </c>
      <c r="C37" s="74">
        <f>C36+365.25/12</f>
        <v>45262.3125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Исходные данные</vt:lpstr>
      <vt:lpstr>Оценка капитальных затрат </vt:lpstr>
      <vt:lpstr>Оценка эксплуатационных затрат</vt:lpstr>
      <vt:lpstr>Кредит</vt:lpstr>
      <vt:lpstr>Расчет годовой выручки</vt:lpstr>
      <vt:lpstr>Результирующий расчет</vt:lpstr>
      <vt:lpstr>Анализ чувствительности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Лилит</dc:creator>
  <cp:lastModifiedBy>Лилит</cp:lastModifiedBy>
  <dcterms:created xsi:type="dcterms:W3CDTF">2020-08-26T21:15:29Z</dcterms:created>
  <dcterms:modified xsi:type="dcterms:W3CDTF">2020-08-28T19:26:20Z</dcterms:modified>
</cp:coreProperties>
</file>